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Table'!$D$136</definedName>
    <definedName name="CompareWarrYrs">'Drive Table'!$D$137</definedName>
    <definedName name="CostPerKWH">'Drive Table'!$D$135</definedName>
    <definedName name="Day_in_Year">'Drive Table'!$D$143</definedName>
    <definedName name="Days_In_Month">'Drive Table'!$D$142</definedName>
    <definedName name="Days_in_Year">'Drive Table'!$D$143</definedName>
    <definedName name="Hours_In_Day">'Drive Table'!$D$140</definedName>
    <definedName name="Hours_In_Month">'Drive Table'!$D$141</definedName>
    <definedName name="Incremental_Warr_Yr">'Drive Table'!$D$138</definedName>
    <definedName name="Months_In_Year">'Drive Table'!$D$144</definedName>
    <definedName name="Power_On_Hours_Year">'Drive Table'!$D$139</definedName>
  </definedNames>
  <calcPr calcId="171027"/>
  <pivotCaches>
    <pivotCache cacheId="9" r:id="rId5"/>
    <pivotCache cacheId="1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4" i="1" l="1"/>
  <c r="Q124" i="1"/>
  <c r="V124" i="1"/>
  <c r="W124" i="1"/>
  <c r="X124" i="1" s="1"/>
  <c r="Y124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7" i="1"/>
  <c r="V48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5" i="1"/>
  <c r="W3" i="1"/>
  <c r="X3" i="1" s="1"/>
  <c r="W4" i="1"/>
  <c r="W5" i="1"/>
  <c r="W6" i="1"/>
  <c r="X6" i="1" s="1"/>
  <c r="W7" i="1"/>
  <c r="X7" i="1" s="1"/>
  <c r="W8" i="1"/>
  <c r="W9" i="1"/>
  <c r="X9" i="1" s="1"/>
  <c r="W10" i="1"/>
  <c r="X10" i="1" s="1"/>
  <c r="W11" i="1"/>
  <c r="X11" i="1" s="1"/>
  <c r="W12" i="1"/>
  <c r="W13" i="1"/>
  <c r="W14" i="1"/>
  <c r="X14" i="1" s="1"/>
  <c r="W15" i="1"/>
  <c r="X15" i="1" s="1"/>
  <c r="W16" i="1"/>
  <c r="W17" i="1"/>
  <c r="X17" i="1" s="1"/>
  <c r="W18" i="1"/>
  <c r="X18" i="1" s="1"/>
  <c r="W19" i="1"/>
  <c r="X19" i="1" s="1"/>
  <c r="W20" i="1"/>
  <c r="W21" i="1"/>
  <c r="W22" i="1"/>
  <c r="X22" i="1" s="1"/>
  <c r="W23" i="1"/>
  <c r="X23" i="1" s="1"/>
  <c r="W24" i="1"/>
  <c r="W25" i="1"/>
  <c r="X25" i="1" s="1"/>
  <c r="W26" i="1"/>
  <c r="X26" i="1" s="1"/>
  <c r="W27" i="1"/>
  <c r="X27" i="1" s="1"/>
  <c r="W28" i="1"/>
  <c r="W29" i="1"/>
  <c r="W30" i="1"/>
  <c r="X30" i="1" s="1"/>
  <c r="W31" i="1"/>
  <c r="X31" i="1" s="1"/>
  <c r="W32" i="1"/>
  <c r="W33" i="1"/>
  <c r="X33" i="1" s="1"/>
  <c r="W34" i="1"/>
  <c r="X34" i="1" s="1"/>
  <c r="W35" i="1"/>
  <c r="X35" i="1" s="1"/>
  <c r="W36" i="1"/>
  <c r="W37" i="1"/>
  <c r="W38" i="1"/>
  <c r="X38" i="1" s="1"/>
  <c r="W39" i="1"/>
  <c r="X39" i="1" s="1"/>
  <c r="W40" i="1"/>
  <c r="W41" i="1"/>
  <c r="X41" i="1" s="1"/>
  <c r="W42" i="1"/>
  <c r="X42" i="1" s="1"/>
  <c r="W43" i="1"/>
  <c r="X43" i="1" s="1"/>
  <c r="W44" i="1"/>
  <c r="W45" i="1"/>
  <c r="X45" i="1" s="1"/>
  <c r="W47" i="1"/>
  <c r="X47" i="1" s="1"/>
  <c r="W48" i="1"/>
  <c r="W50" i="1"/>
  <c r="X50" i="1" s="1"/>
  <c r="W51" i="1"/>
  <c r="X51" i="1" s="1"/>
  <c r="W52" i="1"/>
  <c r="W53" i="1"/>
  <c r="X53" i="1" s="1"/>
  <c r="W54" i="1"/>
  <c r="X54" i="1" s="1"/>
  <c r="W55" i="1"/>
  <c r="X55" i="1" s="1"/>
  <c r="W56" i="1"/>
  <c r="W57" i="1"/>
  <c r="X57" i="1" s="1"/>
  <c r="W58" i="1"/>
  <c r="X58" i="1" s="1"/>
  <c r="W59" i="1"/>
  <c r="X59" i="1" s="1"/>
  <c r="W60" i="1"/>
  <c r="W61" i="1"/>
  <c r="X61" i="1" s="1"/>
  <c r="W62" i="1"/>
  <c r="X62" i="1" s="1"/>
  <c r="W63" i="1"/>
  <c r="X63" i="1" s="1"/>
  <c r="W64" i="1"/>
  <c r="W65" i="1"/>
  <c r="X65" i="1" s="1"/>
  <c r="W66" i="1"/>
  <c r="X66" i="1" s="1"/>
  <c r="W67" i="1"/>
  <c r="X67" i="1" s="1"/>
  <c r="W68" i="1"/>
  <c r="W69" i="1"/>
  <c r="X69" i="1" s="1"/>
  <c r="W70" i="1"/>
  <c r="X70" i="1" s="1"/>
  <c r="W71" i="1"/>
  <c r="X71" i="1" s="1"/>
  <c r="W72" i="1"/>
  <c r="W73" i="1"/>
  <c r="X73" i="1" s="1"/>
  <c r="W74" i="1"/>
  <c r="X74" i="1" s="1"/>
  <c r="W75" i="1"/>
  <c r="X75" i="1" s="1"/>
  <c r="W76" i="1"/>
  <c r="W77" i="1"/>
  <c r="X77" i="1" s="1"/>
  <c r="W78" i="1"/>
  <c r="X78" i="1" s="1"/>
  <c r="W79" i="1"/>
  <c r="X79" i="1" s="1"/>
  <c r="W80" i="1"/>
  <c r="W81" i="1"/>
  <c r="X81" i="1" s="1"/>
  <c r="W82" i="1"/>
  <c r="X82" i="1" s="1"/>
  <c r="W83" i="1"/>
  <c r="X83" i="1" s="1"/>
  <c r="W84" i="1"/>
  <c r="W85" i="1"/>
  <c r="X85" i="1" s="1"/>
  <c r="W86" i="1"/>
  <c r="X86" i="1" s="1"/>
  <c r="W87" i="1"/>
  <c r="X87" i="1" s="1"/>
  <c r="W88" i="1"/>
  <c r="W89" i="1"/>
  <c r="X89" i="1" s="1"/>
  <c r="W90" i="1"/>
  <c r="X90" i="1" s="1"/>
  <c r="W91" i="1"/>
  <c r="X91" i="1" s="1"/>
  <c r="W92" i="1"/>
  <c r="W93" i="1"/>
  <c r="X93" i="1" s="1"/>
  <c r="W94" i="1"/>
  <c r="X94" i="1" s="1"/>
  <c r="W95" i="1"/>
  <c r="X95" i="1" s="1"/>
  <c r="W96" i="1"/>
  <c r="W97" i="1"/>
  <c r="X97" i="1" s="1"/>
  <c r="W98" i="1"/>
  <c r="X98" i="1" s="1"/>
  <c r="W99" i="1"/>
  <c r="X99" i="1" s="1"/>
  <c r="W100" i="1"/>
  <c r="W101" i="1"/>
  <c r="X101" i="1" s="1"/>
  <c r="W102" i="1"/>
  <c r="X102" i="1" s="1"/>
  <c r="W103" i="1"/>
  <c r="X103" i="1" s="1"/>
  <c r="W104" i="1"/>
  <c r="W105" i="1"/>
  <c r="X105" i="1" s="1"/>
  <c r="W106" i="1"/>
  <c r="X106" i="1" s="1"/>
  <c r="W107" i="1"/>
  <c r="X107" i="1" s="1"/>
  <c r="W108" i="1"/>
  <c r="W109" i="1"/>
  <c r="X109" i="1" s="1"/>
  <c r="W110" i="1"/>
  <c r="X110" i="1" s="1"/>
  <c r="W111" i="1"/>
  <c r="X111" i="1" s="1"/>
  <c r="W112" i="1"/>
  <c r="W113" i="1"/>
  <c r="X113" i="1" s="1"/>
  <c r="W114" i="1"/>
  <c r="X114" i="1" s="1"/>
  <c r="W115" i="1"/>
  <c r="X115" i="1" s="1"/>
  <c r="W116" i="1"/>
  <c r="W117" i="1"/>
  <c r="X117" i="1" s="1"/>
  <c r="W118" i="1"/>
  <c r="X118" i="1" s="1"/>
  <c r="W119" i="1"/>
  <c r="X119" i="1" s="1"/>
  <c r="W120" i="1"/>
  <c r="W121" i="1"/>
  <c r="X121" i="1" s="1"/>
  <c r="W122" i="1"/>
  <c r="X122" i="1" s="1"/>
  <c r="W123" i="1"/>
  <c r="X123" i="1" s="1"/>
  <c r="W125" i="1"/>
  <c r="X4" i="1"/>
  <c r="X5" i="1"/>
  <c r="X8" i="1"/>
  <c r="X12" i="1"/>
  <c r="X13" i="1"/>
  <c r="X16" i="1"/>
  <c r="X20" i="1"/>
  <c r="X21" i="1"/>
  <c r="X24" i="1"/>
  <c r="X28" i="1"/>
  <c r="X29" i="1"/>
  <c r="X32" i="1"/>
  <c r="X36" i="1"/>
  <c r="X37" i="1"/>
  <c r="X40" i="1"/>
  <c r="X44" i="1"/>
  <c r="X48" i="1"/>
  <c r="X52" i="1"/>
  <c r="X56" i="1"/>
  <c r="X60" i="1"/>
  <c r="X64" i="1"/>
  <c r="X68" i="1"/>
  <c r="X72" i="1"/>
  <c r="X76" i="1"/>
  <c r="X80" i="1"/>
  <c r="X84" i="1"/>
  <c r="X88" i="1"/>
  <c r="X92" i="1"/>
  <c r="X96" i="1"/>
  <c r="X100" i="1"/>
  <c r="X104" i="1"/>
  <c r="X108" i="1"/>
  <c r="X112" i="1"/>
  <c r="X116" i="1"/>
  <c r="X120" i="1"/>
  <c r="X125" i="1"/>
  <c r="Y15" i="1" l="1"/>
  <c r="J15" i="1"/>
  <c r="Y16" i="1"/>
  <c r="J16" i="1"/>
  <c r="Y14" i="1"/>
  <c r="J14" i="1"/>
  <c r="J20" i="1" l="1"/>
  <c r="Y20" i="1"/>
  <c r="J21" i="1"/>
  <c r="Y21" i="1"/>
  <c r="J22" i="1"/>
  <c r="P22" i="1"/>
  <c r="Y22" i="1"/>
  <c r="J23" i="1"/>
  <c r="P23" i="1"/>
  <c r="Y23" i="1"/>
  <c r="J24" i="1"/>
  <c r="P24" i="1"/>
  <c r="Y24" i="1"/>
  <c r="J25" i="1"/>
  <c r="P25" i="1"/>
  <c r="Y25" i="1"/>
  <c r="J26" i="1"/>
  <c r="P26" i="1"/>
  <c r="Q26" i="1"/>
  <c r="Y26" i="1"/>
  <c r="J27" i="1"/>
  <c r="P27" i="1"/>
  <c r="Q27" i="1"/>
  <c r="Y27" i="1"/>
  <c r="J28" i="1"/>
  <c r="P28" i="1"/>
  <c r="Y28" i="1"/>
  <c r="J29" i="1"/>
  <c r="P29" i="1"/>
  <c r="Q29" i="1"/>
  <c r="Y29" i="1"/>
  <c r="J30" i="1"/>
  <c r="P30" i="1"/>
  <c r="Q30" i="1"/>
  <c r="Y30" i="1"/>
  <c r="J31" i="1"/>
  <c r="P31" i="1"/>
  <c r="Q31" i="1"/>
  <c r="Y31" i="1"/>
  <c r="J32" i="1"/>
  <c r="P32" i="1"/>
  <c r="Q32" i="1"/>
  <c r="Y32" i="1"/>
  <c r="J33" i="1"/>
  <c r="P33" i="1"/>
  <c r="Q33" i="1"/>
  <c r="Y33" i="1"/>
  <c r="J34" i="1"/>
  <c r="Y34" i="1"/>
  <c r="J35" i="1"/>
  <c r="Y35" i="1"/>
  <c r="J36" i="1"/>
  <c r="Q36" i="1"/>
  <c r="Y36" i="1"/>
  <c r="J37" i="1"/>
  <c r="Y37" i="1"/>
  <c r="J38" i="1"/>
  <c r="Q38" i="1"/>
  <c r="Y38" i="1"/>
  <c r="J39" i="1"/>
  <c r="Q39" i="1"/>
  <c r="Y39" i="1"/>
  <c r="J40" i="1"/>
  <c r="Y40" i="1"/>
  <c r="J41" i="1"/>
  <c r="Q41" i="1"/>
  <c r="Y41" i="1"/>
  <c r="J42" i="1"/>
  <c r="Q42" i="1"/>
  <c r="T42" i="1"/>
  <c r="Y42" i="1"/>
  <c r="J43" i="1"/>
  <c r="Q43" i="1"/>
  <c r="T43" i="1"/>
  <c r="Y43" i="1"/>
  <c r="J44" i="1"/>
  <c r="Q44" i="1"/>
  <c r="T44" i="1"/>
  <c r="Y44" i="1"/>
  <c r="J45" i="1"/>
  <c r="Y45" i="1"/>
  <c r="J46" i="1"/>
  <c r="U46" i="1"/>
  <c r="J47" i="1"/>
  <c r="Y47" i="1"/>
  <c r="J48" i="1"/>
  <c r="Y48" i="1"/>
  <c r="V46" i="1" l="1"/>
  <c r="W46" i="1"/>
  <c r="X46" i="1" s="1"/>
  <c r="Y46" i="1" s="1"/>
  <c r="Y58" i="1"/>
  <c r="J58" i="1"/>
  <c r="Y56" i="1"/>
  <c r="J56" i="1"/>
  <c r="Y57" i="1"/>
  <c r="J57" i="1"/>
  <c r="Y125" i="1"/>
  <c r="Q125" i="1"/>
  <c r="J125" i="1"/>
  <c r="A5" i="3"/>
  <c r="A6" i="3"/>
  <c r="A7" i="3"/>
  <c r="A4" i="3"/>
  <c r="A8" i="3"/>
  <c r="O127" i="1"/>
  <c r="S128" i="1"/>
  <c r="R128" i="1"/>
  <c r="S129" i="1"/>
  <c r="S126" i="1"/>
  <c r="R129" i="1"/>
  <c r="R126" i="1"/>
  <c r="S127" i="1"/>
  <c r="R127" i="1"/>
  <c r="E130" i="1"/>
  <c r="E129" i="1"/>
  <c r="E128" i="1"/>
  <c r="E127" i="1"/>
  <c r="E126" i="1"/>
  <c r="Y86" i="1" l="1"/>
  <c r="P86" i="1"/>
  <c r="J86" i="1"/>
  <c r="Y17" i="1"/>
  <c r="J17" i="1"/>
  <c r="Y7" i="1" l="1"/>
  <c r="J7" i="1"/>
  <c r="Y117" i="1" l="1"/>
  <c r="P117" i="1"/>
  <c r="J117" i="1"/>
  <c r="H127" i="1" l="1"/>
  <c r="A138" i="1" l="1"/>
  <c r="O126" i="1"/>
  <c r="U49" i="1"/>
  <c r="Y108" i="1"/>
  <c r="J108" i="1"/>
  <c r="Y18" i="1"/>
  <c r="J18" i="1"/>
  <c r="O129" i="1"/>
  <c r="I128" i="1"/>
  <c r="I129" i="1"/>
  <c r="I127" i="1"/>
  <c r="I126" i="1"/>
  <c r="I130" i="1"/>
  <c r="Y19" i="1"/>
  <c r="J19" i="1"/>
  <c r="V49" i="1" l="1"/>
  <c r="W49" i="1"/>
  <c r="X49" i="1" s="1"/>
  <c r="O128" i="1"/>
  <c r="Q66" i="1"/>
  <c r="Q67" i="1"/>
  <c r="Q68" i="1"/>
  <c r="P64" i="1"/>
  <c r="P65" i="1"/>
  <c r="P66" i="1"/>
  <c r="P63" i="1"/>
  <c r="Y82" i="1" l="1"/>
  <c r="J82" i="1"/>
  <c r="Y85" i="1"/>
  <c r="J85" i="1"/>
  <c r="Y84" i="1"/>
  <c r="J84" i="1"/>
  <c r="Y83" i="1"/>
  <c r="J83" i="1"/>
  <c r="H130" i="1" l="1"/>
  <c r="H129" i="1"/>
  <c r="H128" i="1"/>
  <c r="H126" i="1"/>
  <c r="Y50" i="1" l="1"/>
  <c r="J50" i="1"/>
  <c r="Y6" i="1" l="1"/>
  <c r="Q6" i="1"/>
  <c r="P6" i="1"/>
  <c r="J6" i="1"/>
  <c r="P5" i="1"/>
  <c r="P4" i="1"/>
  <c r="P3" i="1"/>
  <c r="P77" i="1" l="1"/>
  <c r="P78" i="1"/>
  <c r="P76" i="1"/>
  <c r="N129" i="1"/>
  <c r="N128" i="1"/>
  <c r="N127" i="1"/>
  <c r="N126" i="1"/>
  <c r="M129" i="1"/>
  <c r="M128" i="1"/>
  <c r="M127" i="1"/>
  <c r="M126" i="1"/>
  <c r="L129" i="1"/>
  <c r="L128" i="1"/>
  <c r="L127" i="1"/>
  <c r="L126" i="1"/>
  <c r="K129" i="1"/>
  <c r="K128" i="1"/>
  <c r="K127" i="1"/>
  <c r="K126" i="1"/>
  <c r="F130" i="1"/>
  <c r="F129" i="1"/>
  <c r="F128" i="1"/>
  <c r="F127" i="1"/>
  <c r="F126" i="1"/>
  <c r="A135" i="1"/>
  <c r="Q55" i="1"/>
  <c r="Q54" i="1"/>
  <c r="Q52" i="1"/>
  <c r="Q53" i="1"/>
  <c r="Y53" i="1"/>
  <c r="J53" i="1"/>
  <c r="Q93" i="1"/>
  <c r="P93" i="1"/>
  <c r="Y93" i="1"/>
  <c r="J93" i="1"/>
  <c r="P91" i="1"/>
  <c r="P90" i="1"/>
  <c r="P89" i="1"/>
  <c r="P88" i="1"/>
  <c r="P87" i="1"/>
  <c r="P100" i="1"/>
  <c r="P101" i="1"/>
  <c r="P99" i="1"/>
  <c r="P98" i="1"/>
  <c r="P97" i="1"/>
  <c r="P96" i="1"/>
  <c r="P95" i="1"/>
  <c r="P94" i="1"/>
  <c r="K130" i="1"/>
  <c r="Y118" i="1"/>
  <c r="P118" i="1"/>
  <c r="J118" i="1"/>
  <c r="P110" i="1"/>
  <c r="P111" i="1"/>
  <c r="P112" i="1"/>
  <c r="P113" i="1"/>
  <c r="P114" i="1"/>
  <c r="P115" i="1"/>
  <c r="P116" i="1"/>
  <c r="P109" i="1"/>
  <c r="M130" i="1"/>
  <c r="N130" i="1"/>
  <c r="O130" i="1"/>
  <c r="Y52" i="1"/>
  <c r="J52" i="1"/>
  <c r="D142" i="1"/>
  <c r="D141" i="1" s="1"/>
  <c r="D139" i="1"/>
  <c r="Y101" i="1"/>
  <c r="J101" i="1"/>
  <c r="Y100" i="1"/>
  <c r="J100" i="1"/>
  <c r="Q95" i="1"/>
  <c r="Q96" i="1"/>
  <c r="Q97" i="1"/>
  <c r="Q98" i="1"/>
  <c r="Q99" i="1"/>
  <c r="Q111" i="1"/>
  <c r="Q121" i="1"/>
  <c r="Q123" i="1"/>
  <c r="Q112" i="1"/>
  <c r="Q114" i="1"/>
  <c r="Q115" i="1"/>
  <c r="Q116" i="1"/>
  <c r="AA124" i="1" l="1"/>
  <c r="AB124" i="1" s="1"/>
  <c r="AA15" i="1"/>
  <c r="AB15" i="1" s="1"/>
  <c r="AA14" i="1"/>
  <c r="AB14" i="1" s="1"/>
  <c r="AA16" i="1"/>
  <c r="AB16" i="1" s="1"/>
  <c r="AA20" i="1"/>
  <c r="AB20" i="1" s="1"/>
  <c r="AA29" i="1"/>
  <c r="AB29" i="1" s="1"/>
  <c r="AA30" i="1"/>
  <c r="AB30" i="1" s="1"/>
  <c r="AA31" i="1"/>
  <c r="AB31" i="1" s="1"/>
  <c r="AA33" i="1"/>
  <c r="AB33" i="1" s="1"/>
  <c r="AA34" i="1"/>
  <c r="AB34" i="1" s="1"/>
  <c r="AA37" i="1"/>
  <c r="AB37" i="1" s="1"/>
  <c r="AA38" i="1"/>
  <c r="AB38" i="1" s="1"/>
  <c r="AA39" i="1"/>
  <c r="AB39" i="1" s="1"/>
  <c r="AA41" i="1"/>
  <c r="AB41" i="1" s="1"/>
  <c r="AA43" i="1"/>
  <c r="AB43" i="1" s="1"/>
  <c r="AA44" i="1"/>
  <c r="AB44" i="1" s="1"/>
  <c r="AA48" i="1"/>
  <c r="AB48" i="1" s="1"/>
  <c r="AA32" i="1"/>
  <c r="AB32" i="1" s="1"/>
  <c r="AA45" i="1"/>
  <c r="AB45" i="1" s="1"/>
  <c r="AA47" i="1"/>
  <c r="AB47" i="1" s="1"/>
  <c r="AA27" i="1"/>
  <c r="AB27" i="1" s="1"/>
  <c r="AA36" i="1"/>
  <c r="AB36" i="1" s="1"/>
  <c r="AA21" i="1"/>
  <c r="AB21" i="1" s="1"/>
  <c r="AA22" i="1"/>
  <c r="AB22" i="1" s="1"/>
  <c r="AA23" i="1"/>
  <c r="AB23" i="1" s="1"/>
  <c r="AA24" i="1"/>
  <c r="AB24" i="1" s="1"/>
  <c r="AA25" i="1"/>
  <c r="AB25" i="1" s="1"/>
  <c r="AA26" i="1"/>
  <c r="AB26" i="1" s="1"/>
  <c r="AA35" i="1"/>
  <c r="AB35" i="1" s="1"/>
  <c r="AA28" i="1"/>
  <c r="AB28" i="1" s="1"/>
  <c r="AA42" i="1"/>
  <c r="AB42" i="1" s="1"/>
  <c r="AA46" i="1"/>
  <c r="AB46" i="1" s="1"/>
  <c r="AA125" i="1"/>
  <c r="AB125" i="1" s="1"/>
  <c r="AA56" i="1"/>
  <c r="AB56" i="1" s="1"/>
  <c r="AA57" i="1"/>
  <c r="AB57" i="1" s="1"/>
  <c r="AA58" i="1"/>
  <c r="AB58" i="1" s="1"/>
  <c r="AA86" i="1"/>
  <c r="AB86" i="1" s="1"/>
  <c r="P127" i="1"/>
  <c r="P126" i="1"/>
  <c r="P128" i="1"/>
  <c r="P129" i="1"/>
  <c r="AA117" i="1"/>
  <c r="AB117" i="1" s="1"/>
  <c r="AA17" i="1"/>
  <c r="AB17" i="1" s="1"/>
  <c r="AA18" i="1"/>
  <c r="AB18" i="1" s="1"/>
  <c r="AA108" i="1"/>
  <c r="AB108" i="1" s="1"/>
  <c r="AA19" i="1"/>
  <c r="AB19" i="1" s="1"/>
  <c r="AA100" i="1"/>
  <c r="AB100" i="1" s="1"/>
  <c r="AA50" i="1"/>
  <c r="AB50" i="1" s="1"/>
  <c r="AA51" i="1"/>
  <c r="AB51" i="1" s="1"/>
  <c r="AA52" i="1"/>
  <c r="AB52" i="1" s="1"/>
  <c r="AA53" i="1"/>
  <c r="AB53" i="1" s="1"/>
  <c r="AA93" i="1"/>
  <c r="AB93" i="1" s="1"/>
  <c r="AA118" i="1"/>
  <c r="AB118" i="1" s="1"/>
  <c r="P130" i="1"/>
  <c r="AA95" i="1"/>
  <c r="AB95" i="1" s="1"/>
  <c r="AA101" i="1"/>
  <c r="AB101" i="1" s="1"/>
  <c r="AA96" i="1"/>
  <c r="AB96" i="1" s="1"/>
  <c r="AA116" i="1"/>
  <c r="AB116" i="1" s="1"/>
  <c r="AA97" i="1"/>
  <c r="AB97" i="1" s="1"/>
  <c r="AA98" i="1"/>
  <c r="AB98" i="1" s="1"/>
  <c r="AA99" i="1"/>
  <c r="AB99" i="1" s="1"/>
  <c r="Y116" i="1"/>
  <c r="J116" i="1"/>
  <c r="Y79" i="1" l="1"/>
  <c r="J79" i="1"/>
  <c r="Y80" i="1"/>
  <c r="J80" i="1"/>
  <c r="Y81" i="1"/>
  <c r="J81" i="1"/>
  <c r="L130" i="1" l="1"/>
  <c r="AA9" i="1" l="1"/>
  <c r="AA122" i="1"/>
  <c r="AA115" i="1"/>
  <c r="AA111" i="1"/>
  <c r="AA106" i="1"/>
  <c r="AA102" i="1"/>
  <c r="AA89" i="1"/>
  <c r="AA77" i="1"/>
  <c r="AA73" i="1"/>
  <c r="AA69" i="1"/>
  <c r="AA65" i="1"/>
  <c r="AA61" i="1"/>
  <c r="AA54" i="1"/>
  <c r="AA13" i="1"/>
  <c r="AA123" i="1"/>
  <c r="AA119" i="1"/>
  <c r="AA112" i="1"/>
  <c r="AA107" i="1"/>
  <c r="AA103" i="1"/>
  <c r="AA74" i="1"/>
  <c r="AA66" i="1"/>
  <c r="AA55" i="1"/>
  <c r="AA121" i="1"/>
  <c r="AA114" i="1"/>
  <c r="AA110" i="1"/>
  <c r="AA105" i="1"/>
  <c r="AA92" i="1"/>
  <c r="AA88" i="1"/>
  <c r="AA76" i="1"/>
  <c r="AA72" i="1"/>
  <c r="AA68" i="1"/>
  <c r="AA64" i="1"/>
  <c r="AA60" i="1"/>
  <c r="AA49" i="1"/>
  <c r="AA12" i="1"/>
  <c r="AA90" i="1"/>
  <c r="AA78" i="1"/>
  <c r="AA70" i="1"/>
  <c r="AA62" i="1"/>
  <c r="AA10" i="1"/>
  <c r="AA120" i="1"/>
  <c r="AA113" i="1"/>
  <c r="AA109" i="1"/>
  <c r="AA104" i="1"/>
  <c r="AA91" i="1"/>
  <c r="AA87" i="1"/>
  <c r="AA75" i="1"/>
  <c r="AA71" i="1"/>
  <c r="AA67" i="1"/>
  <c r="AA63" i="1"/>
  <c r="AA59" i="1"/>
  <c r="AA11" i="1"/>
  <c r="AA126" i="1" l="1"/>
  <c r="AA129" i="1"/>
  <c r="AA128" i="1"/>
  <c r="AA127" i="1"/>
  <c r="S130" i="1" l="1"/>
  <c r="AB121" i="1"/>
  <c r="AB120" i="1"/>
  <c r="AB114" i="1"/>
  <c r="AB113" i="1"/>
  <c r="AB110" i="1"/>
  <c r="AB109" i="1"/>
  <c r="AB105" i="1"/>
  <c r="AB104" i="1"/>
  <c r="AB92" i="1"/>
  <c r="AB91" i="1"/>
  <c r="AB89" i="1"/>
  <c r="AB87" i="1"/>
  <c r="AB77" i="1"/>
  <c r="AB75" i="1"/>
  <c r="AB73" i="1"/>
  <c r="AB72" i="1"/>
  <c r="AB71" i="1"/>
  <c r="AB69" i="1"/>
  <c r="AB67" i="1"/>
  <c r="AB65" i="1"/>
  <c r="AB64" i="1"/>
  <c r="AB63" i="1"/>
  <c r="AB61" i="1"/>
  <c r="AB59" i="1"/>
  <c r="AB49" i="1"/>
  <c r="AB11" i="1"/>
  <c r="AB9" i="1"/>
  <c r="J3" i="1"/>
  <c r="J4" i="1"/>
  <c r="J5" i="1"/>
  <c r="J8" i="1"/>
  <c r="J9" i="1"/>
  <c r="J10" i="1"/>
  <c r="J11" i="1"/>
  <c r="J12" i="1"/>
  <c r="J13" i="1"/>
  <c r="J49" i="1"/>
  <c r="J51" i="1"/>
  <c r="J54" i="1"/>
  <c r="J55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87" i="1"/>
  <c r="J88" i="1"/>
  <c r="J89" i="1"/>
  <c r="J90" i="1"/>
  <c r="J91" i="1"/>
  <c r="J92" i="1"/>
  <c r="J94" i="1"/>
  <c r="J95" i="1"/>
  <c r="J96" i="1"/>
  <c r="J97" i="1"/>
  <c r="J98" i="1"/>
  <c r="J99" i="1"/>
  <c r="J102" i="1"/>
  <c r="J103" i="1"/>
  <c r="J104" i="1"/>
  <c r="J105" i="1"/>
  <c r="J106" i="1"/>
  <c r="J107" i="1"/>
  <c r="J109" i="1"/>
  <c r="J110" i="1"/>
  <c r="J111" i="1"/>
  <c r="J112" i="1"/>
  <c r="J113" i="1"/>
  <c r="J114" i="1"/>
  <c r="J115" i="1"/>
  <c r="J119" i="1"/>
  <c r="J120" i="1"/>
  <c r="J121" i="1"/>
  <c r="J122" i="1"/>
  <c r="J123" i="1"/>
  <c r="Y4" i="1"/>
  <c r="Y5" i="1"/>
  <c r="Y8" i="1"/>
  <c r="Y9" i="1"/>
  <c r="Y10" i="1"/>
  <c r="Y11" i="1"/>
  <c r="Y12" i="1"/>
  <c r="Y13" i="1"/>
  <c r="Y49" i="1"/>
  <c r="Y51" i="1"/>
  <c r="Y54" i="1"/>
  <c r="Y55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87" i="1"/>
  <c r="Y88" i="1"/>
  <c r="Y89" i="1"/>
  <c r="Y90" i="1"/>
  <c r="Y91" i="1"/>
  <c r="Y92" i="1"/>
  <c r="Y94" i="1"/>
  <c r="Y95" i="1"/>
  <c r="Y96" i="1"/>
  <c r="Y97" i="1"/>
  <c r="Y98" i="1"/>
  <c r="Y102" i="1"/>
  <c r="Y103" i="1"/>
  <c r="Y104" i="1"/>
  <c r="Y105" i="1"/>
  <c r="Y106" i="1"/>
  <c r="Y107" i="1"/>
  <c r="Y109" i="1"/>
  <c r="Y110" i="1"/>
  <c r="Y111" i="1"/>
  <c r="Y112" i="1"/>
  <c r="Y113" i="1"/>
  <c r="Y114" i="1"/>
  <c r="Y115" i="1"/>
  <c r="Y119" i="1"/>
  <c r="Y120" i="1"/>
  <c r="Y121" i="1"/>
  <c r="Y122" i="1"/>
  <c r="Y123" i="1"/>
  <c r="AB10" i="1"/>
  <c r="AB13" i="1"/>
  <c r="AB54" i="1"/>
  <c r="AB55" i="1"/>
  <c r="AB60" i="1"/>
  <c r="AB62" i="1"/>
  <c r="AB66" i="1"/>
  <c r="AB68" i="1"/>
  <c r="AB70" i="1"/>
  <c r="AB74" i="1"/>
  <c r="AB76" i="1"/>
  <c r="AB78" i="1"/>
  <c r="AB88" i="1"/>
  <c r="AB90" i="1"/>
  <c r="AB102" i="1"/>
  <c r="AB103" i="1"/>
  <c r="AB106" i="1"/>
  <c r="AB107" i="1"/>
  <c r="AB111" i="1"/>
  <c r="AB112" i="1"/>
  <c r="AB115" i="1"/>
  <c r="AB119" i="1"/>
  <c r="AB122" i="1"/>
  <c r="AB123" i="1"/>
  <c r="Y3" i="1" l="1"/>
  <c r="AB12" i="1"/>
  <c r="AB128" i="1" s="1"/>
  <c r="AB129" i="1" l="1"/>
  <c r="T128" i="1"/>
  <c r="T126" i="1"/>
  <c r="T127" i="1"/>
  <c r="T129" i="1"/>
  <c r="AB126" i="1"/>
  <c r="AB127" i="1"/>
  <c r="T130" i="1"/>
  <c r="AB130" i="1"/>
  <c r="Q63" i="1" l="1"/>
  <c r="R130" i="1" l="1"/>
  <c r="Q3" i="1" l="1"/>
  <c r="Q4" i="1"/>
  <c r="Q5" i="1"/>
  <c r="Q73" i="1"/>
  <c r="Q72" i="1"/>
  <c r="Q71" i="1"/>
  <c r="Q70" i="1"/>
  <c r="Q64" i="1"/>
  <c r="Q65" i="1"/>
  <c r="Q69" i="1"/>
  <c r="Q122" i="1"/>
  <c r="Q119" i="1"/>
  <c r="Q120" i="1"/>
  <c r="Q113" i="1"/>
  <c r="Q110" i="1"/>
  <c r="Q109" i="1"/>
  <c r="Q127" i="1" l="1"/>
  <c r="Q128" i="1"/>
  <c r="Q126" i="1"/>
  <c r="Q129" i="1"/>
  <c r="Q130" i="1"/>
  <c r="X126" i="1" l="1"/>
  <c r="X128" i="1"/>
  <c r="X127" i="1"/>
  <c r="X129" i="1"/>
  <c r="V126" i="1"/>
  <c r="V128" i="1"/>
  <c r="V127" i="1"/>
  <c r="V129" i="1"/>
  <c r="Y99" i="1"/>
  <c r="Y130" i="1" s="1"/>
  <c r="V130" i="1"/>
  <c r="X130" i="1"/>
  <c r="Y128" i="1" l="1"/>
  <c r="Y126" i="1"/>
  <c r="Y129" i="1"/>
  <c r="Y127" i="1"/>
  <c r="AA130" i="1"/>
</calcChain>
</file>

<file path=xl/comments1.xml><?xml version="1.0" encoding="utf-8"?>
<comments xmlns="http://schemas.openxmlformats.org/spreadsheetml/2006/main">
  <authors>
    <author>Author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<sst xmlns="http://schemas.openxmlformats.org/spreadsheetml/2006/main" count="478" uniqueCount="126">
  <si>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</si>
  <si>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</si>
  <si>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</si>
  <si>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</si>
  <si>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</si>
  <si>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</si>
  <si>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</si>
  <si>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</si>
  <si>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</si>
  <si>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</si>
  <si>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</si>
  <si>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</si>
  <si>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</si>
  <si>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</si>
  <si>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</si>
  <si>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</si>
  <si>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</si>
  <si>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</si>
  <si>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</si>
  <si>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</si>
  <si>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Archive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</si>
  <si>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</si>
  <si>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</si>
  <si>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</si>
  <si>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</si>
  <si>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</si>
  <si>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</si>
  <si>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</si>
  <si>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</si>
  <si>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SizTB</t>
  </si>
  <si>
    <t>Ultrastar 7K6</t>
  </si>
  <si>
    <t>Blue</t>
  </si>
  <si>
    <t>Active Duty Cycle</t>
  </si>
  <si>
    <t>Power On Hours Year</t>
  </si>
  <si>
    <t>TBD</t>
  </si>
  <si>
    <t>WattsStandby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</si>
  <si>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</si>
  <si>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</si>
  <si>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</si>
  <si>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</si>
  <si>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</si>
  <si>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</si>
  <si>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</si>
  <si>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</si>
  <si>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</si>
  <si>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</si>
  <si>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</si>
  <si>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</si>
  <si>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</si>
  <si>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</si>
  <si>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</si>
  <si>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</si>
  <si>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 xml:space="preserve">Constellation ES.3 </t>
  </si>
  <si>
    <t>Energy$yearPerTB</t>
  </si>
  <si>
    <t>$PerTB</t>
  </si>
  <si>
    <t>Energy</t>
  </si>
  <si>
    <t>Type</t>
  </si>
  <si>
    <t>NAS</t>
  </si>
  <si>
    <t>Days In Month</t>
  </si>
  <si>
    <t>Hours In Day</t>
  </si>
  <si>
    <t>Months In Year</t>
  </si>
  <si>
    <t>Hours In Month</t>
  </si>
  <si>
    <t>These are incomplete at thi time…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</si>
  <si>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</si>
  <si>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</si>
  <si>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</si>
  <si>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</si>
  <si>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</si>
  <si>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</si>
  <si>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</si>
  <si>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</si>
  <si>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</si>
  <si>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</si>
  <si>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Enterprise Capacity He v7</t>
  </si>
  <si>
    <t>Enterprise Capacity v5</t>
  </si>
  <si>
    <t>AvgLatency</t>
  </si>
  <si>
    <t>X300</t>
  </si>
  <si>
    <t>SeekT</t>
  </si>
  <si>
    <t>PERFORMANCE</t>
  </si>
  <si>
    <t>Oldest Update</t>
  </si>
  <si>
    <t>POWER USAGE</t>
  </si>
  <si>
    <t>X GiB NAND Cache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</si>
  <si>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</si>
  <si>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</si>
  <si>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</si>
  <si>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</si>
  <si>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</si>
  <si>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</si>
  <si>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</si>
  <si>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</si>
  <si>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</si>
  <si>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12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</si>
  <si>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10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</si>
  <si>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</si>
  <si>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6</t>
    </r>
  </si>
  <si>
    <r>
      <t>Ultrastar Archive Ha</t>
    </r>
    <r>
      <rPr>
        <vertAlign val="superscript"/>
        <sz val="11"/>
        <color theme="1"/>
        <rFont val="Calibri"/>
        <family val="2"/>
        <scheme val="minor"/>
      </rPr>
      <t>10</t>
    </r>
  </si>
  <si>
    <t>HGST drives are now</t>
  </si>
  <si>
    <t>Enterprise Capacity He v6</t>
  </si>
  <si>
    <t>Ae</t>
  </si>
  <si>
    <t>Average of $ TB/year</t>
  </si>
  <si>
    <t>Avg By Size</t>
  </si>
  <si>
    <t>LONGJEVITY</t>
  </si>
  <si>
    <t>NAS Drives Avg Cost By Size Per Year</t>
  </si>
  <si>
    <t>Cost per TB per year</t>
  </si>
  <si>
    <t>Average</t>
  </si>
  <si>
    <t>FormFactor</t>
  </si>
  <si>
    <t>Enterprise Capacity</t>
  </si>
  <si>
    <t>Ultrastar C10K1800</t>
  </si>
  <si>
    <t>Ultrastar C15K600</t>
  </si>
  <si>
    <t>Travelstar 7K100</t>
  </si>
  <si>
    <t>Travelstar 5K100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</si>
  <si>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</si>
  <si>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</si>
  <si>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</si>
  <si>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</si>
  <si>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</si>
  <si>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</si>
  <si>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</si>
  <si>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Enterprise Performance 15K.6</t>
  </si>
  <si>
    <t>Enterprise Performance 10K.9</t>
  </si>
  <si>
    <t>16GiB NAND</t>
  </si>
  <si>
    <t>Helium filled, Shingled (SMR)</t>
  </si>
  <si>
    <t>Shingled Magnetic Recording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</si>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</sst>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/>
      <right style="medium">
        <color auto="1"/>
      </right>
      <top/>
      <bottom style="medium">
        <color theme="4" tint="0.79998168889431442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97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4" xfId="0" applyNumberFormat="1" applyFill="1" applyBorder="1"/>
    <xf numFmtId="2" fontId="0" fillId="0" borderId="0" xfId="0" applyNumberFormat="1" applyBorder="1" applyAlignment="1"/>
    <xf numFmtId="0" fontId="0" fillId="0" borderId="0" xfId="0" applyNumberFormat="1" applyBorder="1"/>
    <xf numFmtId="0" fontId="3" fillId="2" borderId="2" xfId="0" applyFont="1" applyFill="1" applyBorder="1" applyAlignment="1">
      <alignment horizontal="center"/>
    </xf>
    <xf numFmtId="0" fontId="1" fillId="4" borderId="5" xfId="0" applyFont="1" applyFill="1" applyBorder="1"/>
    <xf numFmtId="2" fontId="1" fillId="4" borderId="6" xfId="0" applyNumberFormat="1" applyFont="1" applyFill="1" applyBorder="1"/>
    <xf numFmtId="44" fontId="1" fillId="4" borderId="6" xfId="0" applyNumberFormat="1" applyFont="1" applyFill="1" applyBorder="1"/>
    <xf numFmtId="0" fontId="1" fillId="4" borderId="6" xfId="0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2" fontId="1" fillId="4" borderId="9" xfId="0" applyNumberFormat="1" applyFont="1" applyFill="1" applyBorder="1"/>
    <xf numFmtId="0" fontId="1" fillId="4" borderId="9" xfId="0" applyFont="1" applyFill="1" applyBorder="1"/>
    <xf numFmtId="44" fontId="1" fillId="4" borderId="9" xfId="0" applyNumberFormat="1" applyFont="1" applyFill="1" applyBorder="1"/>
    <xf numFmtId="44" fontId="1" fillId="4" borderId="10" xfId="0" applyNumberFormat="1" applyFont="1" applyFill="1" applyBorder="1"/>
    <xf numFmtId="0" fontId="0" fillId="4" borderId="9" xfId="0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0" fillId="4" borderId="12" xfId="0" applyFill="1" applyBorder="1"/>
    <xf numFmtId="0" fontId="1" fillId="4" borderId="13" xfId="0" applyFont="1" applyFill="1" applyBorder="1"/>
    <xf numFmtId="0" fontId="1" fillId="2" borderId="14" xfId="0" applyFont="1" applyFill="1" applyBorder="1" applyAlignment="1">
      <alignment horizontal="center"/>
    </xf>
    <xf numFmtId="0" fontId="0" fillId="5" borderId="15" xfId="0" applyFill="1" applyBorder="1"/>
    <xf numFmtId="9" fontId="0" fillId="6" borderId="15" xfId="0" applyNumberFormat="1" applyFill="1" applyBorder="1"/>
    <xf numFmtId="0" fontId="0" fillId="6" borderId="15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5" xfId="0" applyFont="1" applyFill="1" applyBorder="1"/>
    <xf numFmtId="166" fontId="0" fillId="6" borderId="15" xfId="0" applyNumberFormat="1" applyFill="1" applyBorder="1" applyAlignment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15" xfId="0" applyFill="1" applyBorder="1"/>
    <xf numFmtId="167" fontId="0" fillId="0" borderId="0" xfId="0" applyNumberFormat="1"/>
    <xf numFmtId="3" fontId="0" fillId="0" borderId="0" xfId="0" applyNumberFormat="1"/>
    <xf numFmtId="3" fontId="1" fillId="4" borderId="6" xfId="0" applyNumberFormat="1" applyFont="1" applyFill="1" applyBorder="1"/>
    <xf numFmtId="3" fontId="1" fillId="4" borderId="9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6" xfId="0" applyBorder="1"/>
    <xf numFmtId="3" fontId="0" fillId="0" borderId="27" xfId="0" applyNumberFormat="1" applyBorder="1"/>
    <xf numFmtId="3" fontId="0" fillId="0" borderId="4" xfId="0" applyNumberFormat="1" applyBorder="1"/>
    <xf numFmtId="3" fontId="0" fillId="0" borderId="28" xfId="0" applyNumberFormat="1" applyBorder="1"/>
    <xf numFmtId="1" fontId="0" fillId="0" borderId="29" xfId="0" applyNumberFormat="1" applyBorder="1"/>
    <xf numFmtId="1" fontId="0" fillId="0" borderId="30" xfId="0" applyNumberFormat="1" applyBorder="1"/>
    <xf numFmtId="1" fontId="0" fillId="0" borderId="31" xfId="0" applyNumberFormat="1" applyBorder="1"/>
    <xf numFmtId="8" fontId="4" fillId="0" borderId="18" xfId="0" applyNumberFormat="1" applyFont="1" applyBorder="1"/>
    <xf numFmtId="8" fontId="4" fillId="0" borderId="3" xfId="0" applyNumberFormat="1" applyFont="1" applyBorder="1"/>
    <xf numFmtId="0" fontId="4" fillId="0" borderId="18" xfId="0" applyFont="1" applyBorder="1"/>
    <xf numFmtId="8" fontId="4" fillId="0" borderId="3" xfId="0" applyNumberFormat="1" applyFont="1" applyFill="1" applyBorder="1"/>
    <xf numFmtId="8" fontId="4" fillId="0" borderId="19" xfId="0" applyNumberFormat="1" applyFont="1" applyBorder="1"/>
    <xf numFmtId="8" fontId="4" fillId="0" borderId="20" xfId="0" applyNumberFormat="1" applyFont="1" applyBorder="1"/>
    <xf numFmtId="167" fontId="1" fillId="4" borderId="33" xfId="0" applyNumberFormat="1" applyFont="1" applyFill="1" applyBorder="1"/>
    <xf numFmtId="167" fontId="1" fillId="4" borderId="34" xfId="0" applyNumberFormat="1" applyFont="1" applyFill="1" applyBorder="1"/>
    <xf numFmtId="0" fontId="1" fillId="4" borderId="35" xfId="0" applyFont="1" applyFill="1" applyBorder="1"/>
    <xf numFmtId="2" fontId="1" fillId="4" borderId="36" xfId="0" applyNumberFormat="1" applyFont="1" applyFill="1" applyBorder="1"/>
    <xf numFmtId="2" fontId="1" fillId="4" borderId="37" xfId="0" applyNumberFormat="1" applyFont="1" applyFill="1" applyBorder="1"/>
    <xf numFmtId="0" fontId="1" fillId="4" borderId="38" xfId="0" applyFont="1" applyFill="1" applyBorder="1"/>
    <xf numFmtId="164" fontId="0" fillId="0" borderId="0" xfId="0" applyNumberFormat="1" applyBorder="1"/>
    <xf numFmtId="0" fontId="1" fillId="4" borderId="37" xfId="0" applyFont="1" applyFill="1" applyBorder="1"/>
    <xf numFmtId="0" fontId="0" fillId="4" borderId="37" xfId="0" applyFill="1" applyBorder="1"/>
    <xf numFmtId="0" fontId="0" fillId="4" borderId="38" xfId="0" applyFill="1" applyBorder="1"/>
    <xf numFmtId="2" fontId="0" fillId="0" borderId="4" xfId="0" applyNumberFormat="1" applyBorder="1"/>
    <xf numFmtId="168" fontId="0" fillId="0" borderId="30" xfId="0" applyNumberFormat="1" applyBorder="1"/>
    <xf numFmtId="2" fontId="1" fillId="4" borderId="41" xfId="0" applyNumberFormat="1" applyFont="1" applyFill="1" applyBorder="1"/>
    <xf numFmtId="168" fontId="1" fillId="4" borderId="42" xfId="0" applyNumberFormat="1" applyFont="1" applyFill="1" applyBorder="1"/>
    <xf numFmtId="2" fontId="1" fillId="4" borderId="43" xfId="0" applyNumberFormat="1" applyFont="1" applyFill="1" applyBorder="1"/>
    <xf numFmtId="168" fontId="1" fillId="4" borderId="44" xfId="0" applyNumberFormat="1" applyFont="1" applyFill="1" applyBorder="1"/>
    <xf numFmtId="0" fontId="1" fillId="4" borderId="45" xfId="0" applyFont="1" applyFill="1" applyBorder="1"/>
    <xf numFmtId="0" fontId="1" fillId="4" borderId="46" xfId="0" applyFont="1" applyFill="1" applyBorder="1"/>
    <xf numFmtId="2" fontId="1" fillId="4" borderId="33" xfId="0" applyNumberFormat="1" applyFont="1" applyFill="1" applyBorder="1"/>
    <xf numFmtId="2" fontId="1" fillId="4" borderId="34" xfId="0" applyNumberFormat="1" applyFont="1" applyFill="1" applyBorder="1"/>
    <xf numFmtId="0" fontId="1" fillId="2" borderId="49" xfId="0" applyFont="1" applyFill="1" applyBorder="1" applyAlignment="1">
      <alignment horizontal="center"/>
    </xf>
    <xf numFmtId="0" fontId="1" fillId="2" borderId="50" xfId="0" applyFont="1" applyFill="1" applyBorder="1" applyAlignment="1">
      <alignment horizontal="center"/>
    </xf>
    <xf numFmtId="9" fontId="0" fillId="0" borderId="0" xfId="0" applyNumberFormat="1" applyBorder="1"/>
    <xf numFmtId="0" fontId="1" fillId="4" borderId="41" xfId="0" applyFont="1" applyFill="1" applyBorder="1"/>
    <xf numFmtId="2" fontId="1" fillId="4" borderId="42" xfId="0" applyNumberFormat="1" applyFont="1" applyFill="1" applyBorder="1"/>
    <xf numFmtId="0" fontId="1" fillId="4" borderId="43" xfId="0" applyFont="1" applyFill="1" applyBorder="1"/>
    <xf numFmtId="2" fontId="1" fillId="4" borderId="44" xfId="0" applyNumberFormat="1" applyFont="1" applyFill="1" applyBorder="1"/>
    <xf numFmtId="0" fontId="0" fillId="4" borderId="43" xfId="0" applyFill="1" applyBorder="1"/>
    <xf numFmtId="0" fontId="0" fillId="4" borderId="45" xfId="0" applyFill="1" applyBorder="1"/>
    <xf numFmtId="0" fontId="1" fillId="4" borderId="8" xfId="0" applyFont="1" applyFill="1" applyBorder="1" applyAlignment="1">
      <alignment shrinkToFit="1"/>
    </xf>
    <xf numFmtId="14" fontId="0" fillId="0" borderId="52" xfId="0" applyNumberFormat="1" applyBorder="1"/>
    <xf numFmtId="0" fontId="0" fillId="0" borderId="52" xfId="0" applyBorder="1"/>
    <xf numFmtId="0" fontId="0" fillId="0" borderId="52" xfId="0" applyBorder="1" applyAlignment="1">
      <alignment horizontal="center"/>
    </xf>
    <xf numFmtId="3" fontId="0" fillId="0" borderId="53" xfId="0" applyNumberFormat="1" applyBorder="1"/>
    <xf numFmtId="2" fontId="0" fillId="0" borderId="52" xfId="0" applyNumberFormat="1" applyBorder="1"/>
    <xf numFmtId="9" fontId="0" fillId="0" borderId="52" xfId="0" applyNumberFormat="1" applyBorder="1"/>
    <xf numFmtId="1" fontId="0" fillId="0" borderId="51" xfId="0" applyNumberFormat="1" applyBorder="1"/>
    <xf numFmtId="3" fontId="0" fillId="0" borderId="52" xfId="0" applyNumberFormat="1" applyBorder="1"/>
    <xf numFmtId="167" fontId="0" fillId="0" borderId="52" xfId="0" applyNumberFormat="1" applyBorder="1"/>
    <xf numFmtId="2" fontId="0" fillId="0" borderId="53" xfId="0" applyNumberFormat="1" applyBorder="1"/>
    <xf numFmtId="168" fontId="0" fillId="0" borderId="51" xfId="0" applyNumberFormat="1" applyBorder="1"/>
    <xf numFmtId="164" fontId="0" fillId="0" borderId="52" xfId="0" applyNumberFormat="1" applyBorder="1"/>
    <xf numFmtId="164" fontId="0" fillId="0" borderId="54" xfId="0" applyNumberFormat="1" applyFill="1" applyBorder="1"/>
    <xf numFmtId="164" fontId="0" fillId="0" borderId="53" xfId="0" applyNumberFormat="1" applyFill="1" applyBorder="1"/>
    <xf numFmtId="164" fontId="0" fillId="0" borderId="52" xfId="0" applyNumberFormat="1" applyFill="1" applyBorder="1"/>
    <xf numFmtId="0" fontId="0" fillId="0" borderId="52" xfId="0" applyNumberFormat="1" applyBorder="1"/>
    <xf numFmtId="8" fontId="4" fillId="0" borderId="55" xfId="0" applyNumberFormat="1" applyFont="1" applyBorder="1"/>
    <xf numFmtId="8" fontId="4" fillId="0" borderId="54" xfId="0" applyNumberFormat="1" applyFont="1" applyBorder="1"/>
    <xf numFmtId="0" fontId="0" fillId="0" borderId="56" xfId="0" applyBorder="1"/>
    <xf numFmtId="8" fontId="4" fillId="0" borderId="54" xfId="0" applyNumberFormat="1" applyFont="1" applyFill="1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0" xfId="0" applyNumberFormat="1" applyFill="1" applyBorder="1"/>
    <xf numFmtId="2" fontId="0" fillId="0" borderId="52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52" xfId="0" applyBorder="1" applyAlignment="1">
      <alignment shrinkToFit="1"/>
    </xf>
    <xf numFmtId="0" fontId="0" fillId="0" borderId="57" xfId="0" pivotButton="1" applyBorder="1"/>
    <xf numFmtId="0" fontId="0" fillId="0" borderId="57" xfId="0" applyBorder="1"/>
    <xf numFmtId="164" fontId="0" fillId="0" borderId="57" xfId="0" applyNumberFormat="1" applyBorder="1"/>
    <xf numFmtId="2" fontId="0" fillId="0" borderId="57" xfId="0" applyNumberFormat="1" applyBorder="1" applyAlignment="1">
      <alignment horizontal="right"/>
    </xf>
    <xf numFmtId="0" fontId="0" fillId="0" borderId="57" xfId="0" pivotButton="1" applyBorder="1" applyAlignment="1">
      <alignment horizontal="center"/>
    </xf>
    <xf numFmtId="0" fontId="0" fillId="0" borderId="57" xfId="0" applyBorder="1" applyAlignment="1">
      <alignment horizontal="center"/>
    </xf>
    <xf numFmtId="2" fontId="0" fillId="0" borderId="5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5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52" xfId="0" applyNumberFormat="1" applyFill="1" applyBorder="1" applyAlignment="1">
      <alignment horizontal="right"/>
    </xf>
    <xf numFmtId="2" fontId="1" fillId="4" borderId="58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5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57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26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52" xfId="1" applyBorder="1" applyAlignment="1">
      <alignment shrinkToFit="1"/>
    </xf>
    <xf numFmtId="0" fontId="10" fillId="0" borderId="0" xfId="1" applyAlignment="1">
      <alignment shrinkToFit="1"/>
    </xf>
    <xf numFmtId="0" fontId="1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49" fontId="1" fillId="9" borderId="47" xfId="0" applyNumberFormat="1" applyFont="1" applyFill="1" applyBorder="1" applyAlignment="1">
      <alignment horizontal="center" vertical="center"/>
    </xf>
    <xf numFmtId="49" fontId="0" fillId="9" borderId="15" xfId="0" applyNumberFormat="1" applyFill="1" applyBorder="1" applyAlignment="1">
      <alignment horizontal="center" vertical="center"/>
    </xf>
    <xf numFmtId="49" fontId="0" fillId="9" borderId="48" xfId="0" applyNumberForma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14" fontId="1" fillId="6" borderId="16" xfId="0" applyNumberFormat="1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165" fontId="1" fillId="6" borderId="16" xfId="0" applyNumberFormat="1" applyFont="1" applyFill="1" applyBorder="1" applyAlignment="1">
      <alignment horizontal="center"/>
    </xf>
    <xf numFmtId="165" fontId="1" fillId="6" borderId="17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1" fillId="2" borderId="1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10" borderId="39" xfId="0" applyFont="1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7" fillId="8" borderId="61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57" xfId="0" applyNumberFormat="1" applyFont="1" applyFill="1" applyBorder="1" applyAlignment="1">
      <alignment horizontal="center" shrinkToFit="1"/>
    </xf>
    <xf numFmtId="0" fontId="0" fillId="0" borderId="57" xfId="0" applyBorder="1" applyAlignment="1">
      <alignment horizontal="center" shrinkToFit="1"/>
    </xf>
    <xf numFmtId="2" fontId="0" fillId="11" borderId="61" xfId="0" applyNumberFormat="1" applyFont="1" applyFill="1" applyBorder="1" applyAlignment="1">
      <alignment horizontal="center" shrinkToFit="1"/>
    </xf>
    <xf numFmtId="0" fontId="0" fillId="0" borderId="6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104"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0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0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 style="medium">
          <color auto="1"/>
        </left>
        <right/>
        <top/>
        <bottom/>
      </border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18.331999999999997</c:v>
                </c:pt>
                <c:pt idx="2">
                  <c:v>13.521683333333334</c:v>
                </c:pt>
                <c:pt idx="3">
                  <c:v>11.486666666666666</c:v>
                </c:pt>
                <c:pt idx="4">
                  <c:v>9.2913333333333323</c:v>
                </c:pt>
                <c:pt idx="5">
                  <c:v>12.828200000000002</c:v>
                </c:pt>
                <c:pt idx="6">
                  <c:v>8.0165611111111108</c:v>
                </c:pt>
                <c:pt idx="7">
                  <c:v>7.7206666666666663</c:v>
                </c:pt>
                <c:pt idx="8">
                  <c:v>8.0029199999999996</c:v>
                </c:pt>
                <c:pt idx="9">
                  <c:v>9.1621666666666659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66372680"/>
        <c:axId val="466369936"/>
      </c:barChart>
      <c:catAx>
        <c:axId val="466372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69936"/>
        <c:crosses val="autoZero"/>
        <c:auto val="1"/>
        <c:lblAlgn val="ctr"/>
        <c:lblOffset val="100"/>
        <c:noMultiLvlLbl val="0"/>
      </c:catAx>
      <c:valAx>
        <c:axId val="46636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2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5.8796335200000014</c:v>
                </c:pt>
                <c:pt idx="2">
                  <c:v>3.2679849000000001</c:v>
                </c:pt>
                <c:pt idx="3">
                  <c:v>2.4712138400000003</c:v>
                </c:pt>
                <c:pt idx="4">
                  <c:v>1.9101138900000001</c:v>
                </c:pt>
                <c:pt idx="5">
                  <c:v>1.7027488800000001</c:v>
                </c:pt>
                <c:pt idx="6">
                  <c:v>1.3453006666666667</c:v>
                </c:pt>
                <c:pt idx="7">
                  <c:v>0.81585485000000002</c:v>
                </c:pt>
                <c:pt idx="8">
                  <c:v>0.55224287999999988</c:v>
                </c:pt>
                <c:pt idx="9">
                  <c:v>0.50646613333333335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70328"/>
        <c:axId val="466367976"/>
      </c:barChart>
      <c:catAx>
        <c:axId val="466370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67976"/>
        <c:crosses val="autoZero"/>
        <c:auto val="1"/>
        <c:lblAlgn val="ctr"/>
        <c:lblOffset val="100"/>
        <c:noMultiLvlLbl val="0"/>
      </c:catAx>
      <c:valAx>
        <c:axId val="466367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0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5.8796335200000014</c:v>
                </c:pt>
                <c:pt idx="2">
                  <c:v>6.5359698000000002</c:v>
                </c:pt>
                <c:pt idx="3">
                  <c:v>7.4136415200000014</c:v>
                </c:pt>
                <c:pt idx="4">
                  <c:v>7.6404555600000004</c:v>
                </c:pt>
                <c:pt idx="5">
                  <c:v>8.5137444000000002</c:v>
                </c:pt>
                <c:pt idx="6">
                  <c:v>8.0718040000000002</c:v>
                </c:pt>
                <c:pt idx="7">
                  <c:v>6.5268388000000002</c:v>
                </c:pt>
                <c:pt idx="8">
                  <c:v>5.5224288000000001</c:v>
                </c:pt>
                <c:pt idx="9">
                  <c:v>6.0775936000000002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74640"/>
        <c:axId val="466370720"/>
      </c:barChart>
      <c:catAx>
        <c:axId val="466374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0720"/>
        <c:crosses val="autoZero"/>
        <c:auto val="1"/>
        <c:lblAlgn val="ctr"/>
        <c:lblOffset val="100"/>
        <c:noMultiLvlLbl val="0"/>
      </c:catAx>
      <c:valAx>
        <c:axId val="46637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Tables!$A$61:$A$67</c:f>
              <c:multiLvlStrCache>
                <c:ptCount val="4"/>
                <c:lvl>
                  <c:pt idx="0">
                    <c:v>HGST</c:v>
                  </c:pt>
                  <c:pt idx="1">
                    <c:v>Seagate</c:v>
                  </c:pt>
                  <c:pt idx="2">
                    <c:v>WD</c:v>
                  </c:pt>
                  <c:pt idx="3">
                    <c:v>Seagate</c:v>
                  </c:pt>
                </c:lvl>
                <c:lvl>
                  <c:pt idx="0">
                    <c:v>7,200</c:v>
                  </c:pt>
                  <c:pt idx="3">
                    <c:v>15,000</c:v>
                  </c:pt>
                </c:lvl>
              </c:multiLvlStrCache>
            </c:multiLvlStrRef>
          </c:cat>
          <c:val>
            <c:numRef>
              <c:f>Tables!$B$61:$B$67</c:f>
              <c:numCache>
                <c:formatCode>"$"#,##0.00</c:formatCode>
                <c:ptCount val="4"/>
                <c:pt idx="0">
                  <c:v>52.186729166666673</c:v>
                </c:pt>
                <c:pt idx="1">
                  <c:v>52.516013888888892</c:v>
                </c:pt>
                <c:pt idx="2">
                  <c:v>50.485196428571435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91888"/>
        <c:axId val="466386792"/>
      </c:barChart>
      <c:catAx>
        <c:axId val="466391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6792"/>
        <c:crosses val="autoZero"/>
        <c:auto val="1"/>
        <c:lblAlgn val="ctr"/>
        <c:lblOffset val="100"/>
        <c:noMultiLvlLbl val="0"/>
      </c:catAx>
      <c:valAx>
        <c:axId val="466386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9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391496"/>
        <c:axId val="466380912"/>
      </c:barChart>
      <c:catAx>
        <c:axId val="466391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0912"/>
        <c:crosses val="autoZero"/>
        <c:auto val="1"/>
        <c:lblAlgn val="ctr"/>
        <c:lblOffset val="100"/>
        <c:noMultiLvlLbl val="0"/>
      </c:catAx>
      <c:valAx>
        <c:axId val="46638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91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41"/>
          <c:y val="0.19023148148148408"/>
          <c:w val="0.69406736657918311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Table'!$C$3:$C$125</c:f>
              <c:strCache>
                <c:ptCount val="12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</c:v>
                </c:pt>
                <c:pt idx="5">
                  <c:v>Travelstar 7K100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7K6</c:v>
                </c:pt>
                <c:pt idx="10">
                  <c:v>Ultrastar Archive Ha10</c:v>
                </c:pt>
                <c:pt idx="11">
                  <c:v>Ultrastar C10K1200</c:v>
                </c:pt>
                <c:pt idx="12">
                  <c:v>Ultrastar C10K1800</c:v>
                </c:pt>
                <c:pt idx="13">
                  <c:v>Ultrastar C15K600</c:v>
                </c:pt>
                <c:pt idx="14">
                  <c:v>Ultrastar He6</c:v>
                </c:pt>
                <c:pt idx="15">
                  <c:v>Ultrastar He8</c:v>
                </c:pt>
                <c:pt idx="16">
                  <c:v>Ultrastar He10</c:v>
                </c:pt>
                <c:pt idx="17">
                  <c:v>Ultrastar He12</c:v>
                </c:pt>
                <c:pt idx="18">
                  <c:v>Ultrastar Hs14</c:v>
                </c:pt>
                <c:pt idx="19">
                  <c:v>Archive</c:v>
                </c:pt>
                <c:pt idx="20">
                  <c:v>Archive</c:v>
                </c:pt>
                <c:pt idx="21">
                  <c:v>Archive</c:v>
                </c:pt>
                <c:pt idx="22">
                  <c:v>BarraCuda</c:v>
                </c:pt>
                <c:pt idx="23">
                  <c:v>BarraCuda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Constellation ES.3 </c:v>
                </c:pt>
                <c:pt idx="39">
                  <c:v>Constellation ES.3 </c:v>
                </c:pt>
                <c:pt idx="40">
                  <c:v>Constellation ES.3 </c:v>
                </c:pt>
                <c:pt idx="41">
                  <c:v>Constellation ES.3 </c:v>
                </c:pt>
                <c:pt idx="42">
                  <c:v>Enterprise Capacity v5</c:v>
                </c:pt>
                <c:pt idx="43">
                  <c:v>Enterprise Capacity v5</c:v>
                </c:pt>
                <c:pt idx="44">
                  <c:v>Enterprise Capacity v5</c:v>
                </c:pt>
                <c:pt idx="45">
                  <c:v>Enterprise Capacity v5</c:v>
                </c:pt>
                <c:pt idx="46">
                  <c:v>Enterprise Capacity v5</c:v>
                </c:pt>
                <c:pt idx="47">
                  <c:v>Enterprise Capacity v5</c:v>
                </c:pt>
                <c:pt idx="48">
                  <c:v>Enterprise Capacity He v6</c:v>
                </c:pt>
                <c:pt idx="49">
                  <c:v>Enterprise Capacity He v6</c:v>
                </c:pt>
                <c:pt idx="50">
                  <c:v>Enterprise Capacity He v7</c:v>
                </c:pt>
                <c:pt idx="51">
                  <c:v>Enterprise Capacity</c:v>
                </c:pt>
                <c:pt idx="52">
                  <c:v>Enterprise Capacity</c:v>
                </c:pt>
                <c:pt idx="53">
                  <c:v>Enterprise Performance 10K.9</c:v>
                </c:pt>
                <c:pt idx="54">
                  <c:v>Enterprise Performance 10K.9</c:v>
                </c:pt>
                <c:pt idx="55">
                  <c:v>Enterprise Performance 15K.6</c:v>
                </c:pt>
                <c:pt idx="56">
                  <c:v>FireCuda SSHD</c:v>
                </c:pt>
                <c:pt idx="57">
                  <c:v>FireCuda SSHD</c:v>
                </c:pt>
                <c:pt idx="58">
                  <c:v>FireCuda SSHD</c:v>
                </c:pt>
                <c:pt idx="59">
                  <c:v>FireCuda SSHD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IronWolf Pro</c:v>
                </c:pt>
                <c:pt idx="72">
                  <c:v>Terascale</c:v>
                </c:pt>
                <c:pt idx="73">
                  <c:v>N300</c:v>
                </c:pt>
                <c:pt idx="74">
                  <c:v>N300</c:v>
                </c:pt>
                <c:pt idx="75">
                  <c:v>N300</c:v>
                </c:pt>
                <c:pt idx="76">
                  <c:v>P300</c:v>
                </c:pt>
                <c:pt idx="77">
                  <c:v>P300</c:v>
                </c:pt>
                <c:pt idx="78">
                  <c:v>P300</c:v>
                </c:pt>
                <c:pt idx="79">
                  <c:v>X300</c:v>
                </c:pt>
                <c:pt idx="80">
                  <c:v>X300</c:v>
                </c:pt>
                <c:pt idx="81">
                  <c:v>X300</c:v>
                </c:pt>
                <c:pt idx="82">
                  <c:v>X300</c:v>
                </c:pt>
                <c:pt idx="83">
                  <c:v>Ae</c:v>
                </c:pt>
                <c:pt idx="84">
                  <c:v>Black</c:v>
                </c:pt>
                <c:pt idx="85">
                  <c:v>Black</c:v>
                </c:pt>
                <c:pt idx="86">
                  <c:v>Black</c:v>
                </c:pt>
                <c:pt idx="87">
                  <c:v>Black</c:v>
                </c:pt>
                <c:pt idx="88">
                  <c:v>Black</c:v>
                </c:pt>
                <c:pt idx="89">
                  <c:v>Black</c:v>
                </c:pt>
                <c:pt idx="90">
                  <c:v>Black</c:v>
                </c:pt>
                <c:pt idx="91">
                  <c:v>Blue</c:v>
                </c:pt>
                <c:pt idx="92">
                  <c:v>Blue</c:v>
                </c:pt>
                <c:pt idx="93">
                  <c:v>Blue</c:v>
                </c:pt>
                <c:pt idx="94">
                  <c:v>Blue</c:v>
                </c:pt>
                <c:pt idx="95">
                  <c:v>Blue</c:v>
                </c:pt>
                <c:pt idx="96">
                  <c:v>Blue</c:v>
                </c:pt>
                <c:pt idx="97">
                  <c:v>Blue</c:v>
                </c:pt>
                <c:pt idx="98">
                  <c:v>Blue</c:v>
                </c:pt>
                <c:pt idx="99">
                  <c:v>Gold Enterprise</c:v>
                </c:pt>
                <c:pt idx="100">
                  <c:v>Gold Enterprise</c:v>
                </c:pt>
                <c:pt idx="101">
                  <c:v>Gold Enterprise</c:v>
                </c:pt>
                <c:pt idx="102">
                  <c:v>Gold Enterprise</c:v>
                </c:pt>
                <c:pt idx="103">
                  <c:v>Gold Enterprise</c:v>
                </c:pt>
                <c:pt idx="104">
                  <c:v>Gold Enterprise</c:v>
                </c:pt>
                <c:pt idx="105">
                  <c:v>Gold Enterprise</c:v>
                </c:pt>
                <c:pt idx="106">
                  <c:v>Red NAS</c:v>
                </c:pt>
                <c:pt idx="107">
                  <c:v>Red NAS</c:v>
                </c:pt>
                <c:pt idx="108">
                  <c:v>Red NAS</c:v>
                </c:pt>
                <c:pt idx="109">
                  <c:v>Red NAS</c:v>
                </c:pt>
                <c:pt idx="110">
                  <c:v>Red NAS</c:v>
                </c:pt>
                <c:pt idx="111">
                  <c:v>Red NAS</c:v>
                </c:pt>
                <c:pt idx="112">
                  <c:v>Red NAS</c:v>
                </c:pt>
                <c:pt idx="113">
                  <c:v>Red NAS</c:v>
                </c:pt>
                <c:pt idx="114">
                  <c:v>Red NAS</c:v>
                </c:pt>
                <c:pt idx="115">
                  <c:v>Red NAS</c:v>
                </c:pt>
                <c:pt idx="116">
                  <c:v>RED NAS Pro</c:v>
                </c:pt>
                <c:pt idx="117">
                  <c:v>RED NAS Pro</c:v>
                </c:pt>
                <c:pt idx="118">
                  <c:v>RED NAS Pro</c:v>
                </c:pt>
                <c:pt idx="119">
                  <c:v>RED NAS Pro</c:v>
                </c:pt>
                <c:pt idx="120">
                  <c:v>RED NAS Pro</c:v>
                </c:pt>
                <c:pt idx="121">
                  <c:v>RED NAS Pro</c:v>
                </c:pt>
                <c:pt idx="12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Table'!$F$3:$F$126</c:f>
              <c:numCache>
                <c:formatCode>0.00</c:formatCode>
                <c:ptCount val="12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1.2</c:v>
                </c:pt>
                <c:pt idx="12">
                  <c:v>1.8</c:v>
                </c:pt>
                <c:pt idx="13">
                  <c:v>0.6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12</c:v>
                </c:pt>
                <c:pt idx="18">
                  <c:v>14</c:v>
                </c:pt>
                <c:pt idx="19">
                  <c:v>5</c:v>
                </c:pt>
                <c:pt idx="20">
                  <c:v>6</c:v>
                </c:pt>
                <c:pt idx="21">
                  <c:v>8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2</c:v>
                </c:pt>
                <c:pt idx="32">
                  <c:v>4</c:v>
                </c:pt>
                <c:pt idx="33">
                  <c:v>5</c:v>
                </c:pt>
                <c:pt idx="34">
                  <c:v>6</c:v>
                </c:pt>
                <c:pt idx="35">
                  <c:v>8</c:v>
                </c:pt>
                <c:pt idx="36">
                  <c:v>10</c:v>
                </c:pt>
                <c:pt idx="37">
                  <c:v>12</c:v>
                </c:pt>
                <c:pt idx="38">
                  <c:v>1</c:v>
                </c:pt>
                <c:pt idx="39">
                  <c:v>2</c:v>
                </c:pt>
                <c:pt idx="40">
                  <c:v>3</c:v>
                </c:pt>
                <c:pt idx="41">
                  <c:v>4</c:v>
                </c:pt>
                <c:pt idx="42">
                  <c:v>1</c:v>
                </c:pt>
                <c:pt idx="43">
                  <c:v>2</c:v>
                </c:pt>
                <c:pt idx="44">
                  <c:v>3</c:v>
                </c:pt>
                <c:pt idx="45">
                  <c:v>4</c:v>
                </c:pt>
                <c:pt idx="46">
                  <c:v>6</c:v>
                </c:pt>
                <c:pt idx="47">
                  <c:v>8</c:v>
                </c:pt>
                <c:pt idx="48">
                  <c:v>8</c:v>
                </c:pt>
                <c:pt idx="49">
                  <c:v>10</c:v>
                </c:pt>
                <c:pt idx="50">
                  <c:v>12</c:v>
                </c:pt>
                <c:pt idx="51">
                  <c:v>1</c:v>
                </c:pt>
                <c:pt idx="52">
                  <c:v>2</c:v>
                </c:pt>
                <c:pt idx="53">
                  <c:v>1.8</c:v>
                </c:pt>
                <c:pt idx="54">
                  <c:v>2.4</c:v>
                </c:pt>
                <c:pt idx="55">
                  <c:v>0.9</c:v>
                </c:pt>
                <c:pt idx="56">
                  <c:v>1</c:v>
                </c:pt>
                <c:pt idx="57">
                  <c:v>2</c:v>
                </c:pt>
                <c:pt idx="58">
                  <c:v>1</c:v>
                </c:pt>
                <c:pt idx="59">
                  <c:v>2</c:v>
                </c:pt>
                <c:pt idx="60">
                  <c:v>1</c:v>
                </c:pt>
                <c:pt idx="61">
                  <c:v>2</c:v>
                </c:pt>
                <c:pt idx="62">
                  <c:v>3</c:v>
                </c:pt>
                <c:pt idx="63">
                  <c:v>4</c:v>
                </c:pt>
                <c:pt idx="64">
                  <c:v>6</c:v>
                </c:pt>
                <c:pt idx="65">
                  <c:v>8</c:v>
                </c:pt>
                <c:pt idx="66">
                  <c:v>10</c:v>
                </c:pt>
                <c:pt idx="67">
                  <c:v>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4</c:v>
                </c:pt>
                <c:pt idx="73">
                  <c:v>4</c:v>
                </c:pt>
                <c:pt idx="74">
                  <c:v>6</c:v>
                </c:pt>
                <c:pt idx="75">
                  <c:v>8</c:v>
                </c:pt>
                <c:pt idx="76">
                  <c:v>1</c:v>
                </c:pt>
                <c:pt idx="77">
                  <c:v>2</c:v>
                </c:pt>
                <c:pt idx="78">
                  <c:v>3</c:v>
                </c:pt>
                <c:pt idx="79">
                  <c:v>4</c:v>
                </c:pt>
                <c:pt idx="80">
                  <c:v>5</c:v>
                </c:pt>
                <c:pt idx="81">
                  <c:v>6</c:v>
                </c:pt>
                <c:pt idx="82">
                  <c:v>8</c:v>
                </c:pt>
                <c:pt idx="83">
                  <c:v>6</c:v>
                </c:pt>
                <c:pt idx="84">
                  <c:v>1</c:v>
                </c:pt>
                <c:pt idx="85">
                  <c:v>2</c:v>
                </c:pt>
                <c:pt idx="86">
                  <c:v>4</c:v>
                </c:pt>
                <c:pt idx="87">
                  <c:v>5</c:v>
                </c:pt>
                <c:pt idx="88">
                  <c:v>6</c:v>
                </c:pt>
                <c:pt idx="89">
                  <c:v>8</c:v>
                </c:pt>
                <c:pt idx="90">
                  <c:v>1</c:v>
                </c:pt>
                <c:pt idx="91">
                  <c:v>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1</c:v>
                </c:pt>
                <c:pt idx="98">
                  <c:v>2</c:v>
                </c:pt>
                <c:pt idx="99">
                  <c:v>1</c:v>
                </c:pt>
                <c:pt idx="100">
                  <c:v>2</c:v>
                </c:pt>
                <c:pt idx="101">
                  <c:v>4</c:v>
                </c:pt>
                <c:pt idx="102">
                  <c:v>6</c:v>
                </c:pt>
                <c:pt idx="103">
                  <c:v>8</c:v>
                </c:pt>
                <c:pt idx="104">
                  <c:v>10</c:v>
                </c:pt>
                <c:pt idx="105">
                  <c:v>12</c:v>
                </c:pt>
                <c:pt idx="106">
                  <c:v>1</c:v>
                </c:pt>
                <c:pt idx="107">
                  <c:v>2</c:v>
                </c:pt>
                <c:pt idx="108">
                  <c:v>3</c:v>
                </c:pt>
                <c:pt idx="109">
                  <c:v>4</c:v>
                </c:pt>
                <c:pt idx="110">
                  <c:v>5</c:v>
                </c:pt>
                <c:pt idx="111">
                  <c:v>6</c:v>
                </c:pt>
                <c:pt idx="112">
                  <c:v>8</c:v>
                </c:pt>
                <c:pt idx="113">
                  <c:v>10</c:v>
                </c:pt>
                <c:pt idx="114">
                  <c:v>0.75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5</c:v>
                </c:pt>
                <c:pt idx="120">
                  <c:v>6</c:v>
                </c:pt>
                <c:pt idx="121">
                  <c:v>8</c:v>
                </c:pt>
                <c:pt idx="122">
                  <c:v>10</c:v>
                </c:pt>
                <c:pt idx="123">
                  <c:v>0.6</c:v>
                </c:pt>
              </c:numCache>
            </c:numRef>
          </c:xVal>
          <c:yVal>
            <c:numRef>
              <c:f>'Drive Table'!$V$3:$V$126</c:f>
              <c:numCache>
                <c:formatCode>"$"#,##0.00</c:formatCode>
                <c:ptCount val="124"/>
                <c:pt idx="0">
                  <c:v>33.497500000000002</c:v>
                </c:pt>
                <c:pt idx="1">
                  <c:v>32.498333333333335</c:v>
                </c:pt>
                <c:pt idx="2">
                  <c:v>34.998750000000001</c:v>
                </c:pt>
                <c:pt idx="3">
                  <c:v>34.999000000000002</c:v>
                </c:pt>
                <c:pt idx="4">
                  <c:v>49.99</c:v>
                </c:pt>
                <c:pt idx="5">
                  <c:v>54.99</c:v>
                </c:pt>
                <c:pt idx="6">
                  <c:v>74.67</c:v>
                </c:pt>
                <c:pt idx="7">
                  <c:v>63.997500000000002</c:v>
                </c:pt>
                <c:pt idx="8">
                  <c:v>76.284000000000006</c:v>
                </c:pt>
                <c:pt idx="9">
                  <c:v>50.254999999999995</c:v>
                </c:pt>
                <c:pt idx="10">
                  <c:v>46.625</c:v>
                </c:pt>
                <c:pt idx="11">
                  <c:v>150</c:v>
                </c:pt>
                <c:pt idx="12">
                  <c:v>175</c:v>
                </c:pt>
                <c:pt idx="13">
                  <c:v>433.31666666666672</c:v>
                </c:pt>
                <c:pt idx="14">
                  <c:v>29.998333333333335</c:v>
                </c:pt>
                <c:pt idx="15">
                  <c:v>35.625</c:v>
                </c:pt>
                <c:pt idx="16">
                  <c:v>34.999000000000002</c:v>
                </c:pt>
                <c:pt idx="17">
                  <c:v>51.664999999999999</c:v>
                </c:pt>
                <c:pt idx="18">
                  <c:v>0</c:v>
                </c:pt>
                <c:pt idx="19">
                  <c:v>38.402000000000001</c:v>
                </c:pt>
                <c:pt idx="20">
                  <c:v>33.911666666666669</c:v>
                </c:pt>
                <c:pt idx="21">
                  <c:v>28.748750000000001</c:v>
                </c:pt>
                <c:pt idx="22">
                  <c:v>46.99</c:v>
                </c:pt>
                <c:pt idx="23">
                  <c:v>33.494999999999997</c:v>
                </c:pt>
                <c:pt idx="24">
                  <c:v>23.33</c:v>
                </c:pt>
                <c:pt idx="25">
                  <c:v>28.747499999999999</c:v>
                </c:pt>
                <c:pt idx="26">
                  <c:v>49.99</c:v>
                </c:pt>
                <c:pt idx="27">
                  <c:v>33.494999999999997</c:v>
                </c:pt>
                <c:pt idx="28">
                  <c:v>29.996666666666666</c:v>
                </c:pt>
                <c:pt idx="29">
                  <c:v>28.747499999999999</c:v>
                </c:pt>
                <c:pt idx="30">
                  <c:v>41.998000000000005</c:v>
                </c:pt>
                <c:pt idx="31">
                  <c:v>63.994999999999997</c:v>
                </c:pt>
                <c:pt idx="32">
                  <c:v>43.747500000000002</c:v>
                </c:pt>
                <c:pt idx="33">
                  <c:v>42.998000000000005</c:v>
                </c:pt>
                <c:pt idx="34">
                  <c:v>41.664999999999999</c:v>
                </c:pt>
                <c:pt idx="35">
                  <c:v>40.623750000000001</c:v>
                </c:pt>
                <c:pt idx="36">
                  <c:v>42.499000000000002</c:v>
                </c:pt>
                <c:pt idx="37">
                  <c:v>43.749166666666667</c:v>
                </c:pt>
                <c:pt idx="38">
                  <c:v>90</c:v>
                </c:pt>
                <c:pt idx="39">
                  <c:v>82</c:v>
                </c:pt>
                <c:pt idx="40">
                  <c:v>43.330000000000005</c:v>
                </c:pt>
                <c:pt idx="41">
                  <c:v>43.75</c:v>
                </c:pt>
                <c:pt idx="42">
                  <c:v>99.99</c:v>
                </c:pt>
                <c:pt idx="43">
                  <c:v>53.9955</c:v>
                </c:pt>
                <c:pt idx="44">
                  <c:v>58.973333333333329</c:v>
                </c:pt>
                <c:pt idx="45">
                  <c:v>38.747500000000002</c:v>
                </c:pt>
                <c:pt idx="46">
                  <c:v>36.7485</c:v>
                </c:pt>
                <c:pt idx="47">
                  <c:v>36.248750000000001</c:v>
                </c:pt>
                <c:pt idx="48">
                  <c:v>32.498750000000001</c:v>
                </c:pt>
                <c:pt idx="49">
                  <c:v>36.499000000000002</c:v>
                </c:pt>
                <c:pt idx="50">
                  <c:v>40.768333333333338</c:v>
                </c:pt>
                <c:pt idx="51">
                  <c:v>182.13</c:v>
                </c:pt>
                <c:pt idx="52">
                  <c:v>164.995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75.989999999999995</c:v>
                </c:pt>
                <c:pt idx="57">
                  <c:v>49.994999999999997</c:v>
                </c:pt>
                <c:pt idx="58">
                  <c:v>62.99</c:v>
                </c:pt>
                <c:pt idx="59">
                  <c:v>44.994999999999997</c:v>
                </c:pt>
                <c:pt idx="60">
                  <c:v>64.98</c:v>
                </c:pt>
                <c:pt idx="61">
                  <c:v>42.494999999999997</c:v>
                </c:pt>
                <c:pt idx="62">
                  <c:v>35.996666666666663</c:v>
                </c:pt>
                <c:pt idx="63">
                  <c:v>32.25</c:v>
                </c:pt>
                <c:pt idx="64">
                  <c:v>33.998333333333335</c:v>
                </c:pt>
                <c:pt idx="65">
                  <c:v>33.746250000000003</c:v>
                </c:pt>
                <c:pt idx="66">
                  <c:v>37.999000000000002</c:v>
                </c:pt>
                <c:pt idx="67">
                  <c:v>72.495000000000005</c:v>
                </c:pt>
                <c:pt idx="68">
                  <c:v>47.497500000000002</c:v>
                </c:pt>
                <c:pt idx="69">
                  <c:v>44.998333333333335</c:v>
                </c:pt>
                <c:pt idx="70">
                  <c:v>43.748750000000001</c:v>
                </c:pt>
                <c:pt idx="71">
                  <c:v>42.999000000000002</c:v>
                </c:pt>
                <c:pt idx="72">
                  <c:v>47.497500000000002</c:v>
                </c:pt>
                <c:pt idx="73">
                  <c:v>32.497500000000002</c:v>
                </c:pt>
                <c:pt idx="74">
                  <c:v>32.994999999999997</c:v>
                </c:pt>
                <c:pt idx="75">
                  <c:v>33.748750000000001</c:v>
                </c:pt>
                <c:pt idx="76">
                  <c:v>49.99</c:v>
                </c:pt>
                <c:pt idx="77">
                  <c:v>35.994999999999997</c:v>
                </c:pt>
                <c:pt idx="78">
                  <c:v>29.996666666666666</c:v>
                </c:pt>
                <c:pt idx="79">
                  <c:v>32.497500000000002</c:v>
                </c:pt>
                <c:pt idx="80">
                  <c:v>28.393999999999998</c:v>
                </c:pt>
                <c:pt idx="81">
                  <c:v>31.665000000000003</c:v>
                </c:pt>
                <c:pt idx="82">
                  <c:v>31.873750000000001</c:v>
                </c:pt>
                <c:pt idx="83">
                  <c:v>31.665000000000003</c:v>
                </c:pt>
                <c:pt idx="84">
                  <c:v>67.989999999999995</c:v>
                </c:pt>
                <c:pt idx="85">
                  <c:v>59.994999999999997</c:v>
                </c:pt>
                <c:pt idx="86">
                  <c:v>46.247500000000002</c:v>
                </c:pt>
                <c:pt idx="87">
                  <c:v>26.998000000000001</c:v>
                </c:pt>
                <c:pt idx="88">
                  <c:v>39.164999999999999</c:v>
                </c:pt>
                <c:pt idx="89">
                  <c:v>41.248750000000001</c:v>
                </c:pt>
                <c:pt idx="90">
                  <c:v>69.989999999999995</c:v>
                </c:pt>
                <c:pt idx="91">
                  <c:v>49.99</c:v>
                </c:pt>
                <c:pt idx="92">
                  <c:v>32.104999999999997</c:v>
                </c:pt>
                <c:pt idx="93">
                  <c:v>28.33</c:v>
                </c:pt>
                <c:pt idx="94">
                  <c:v>29.497499999999999</c:v>
                </c:pt>
                <c:pt idx="95">
                  <c:v>47.177999999999997</c:v>
                </c:pt>
                <c:pt idx="96">
                  <c:v>32.831666666666671</c:v>
                </c:pt>
                <c:pt idx="97">
                  <c:v>55.99</c:v>
                </c:pt>
                <c:pt idx="98">
                  <c:v>70.995000000000005</c:v>
                </c:pt>
                <c:pt idx="99">
                  <c:v>84.99</c:v>
                </c:pt>
                <c:pt idx="100">
                  <c:v>61.994999999999997</c:v>
                </c:pt>
                <c:pt idx="101">
                  <c:v>41</c:v>
                </c:pt>
                <c:pt idx="102">
                  <c:v>39.164999999999999</c:v>
                </c:pt>
                <c:pt idx="103">
                  <c:v>42.498750000000001</c:v>
                </c:pt>
                <c:pt idx="104">
                  <c:v>41.499000000000002</c:v>
                </c:pt>
                <c:pt idx="105">
                  <c:v>44.999166666666667</c:v>
                </c:pt>
                <c:pt idx="106">
                  <c:v>62.99</c:v>
                </c:pt>
                <c:pt idx="107">
                  <c:v>42.494999999999997</c:v>
                </c:pt>
                <c:pt idx="108">
                  <c:v>36.663333333333334</c:v>
                </c:pt>
                <c:pt idx="109">
                  <c:v>32.497500000000002</c:v>
                </c:pt>
                <c:pt idx="110">
                  <c:v>52.4</c:v>
                </c:pt>
                <c:pt idx="111">
                  <c:v>36.331666666666671</c:v>
                </c:pt>
                <c:pt idx="112">
                  <c:v>32.498750000000001</c:v>
                </c:pt>
                <c:pt idx="113">
                  <c:v>37.999000000000002</c:v>
                </c:pt>
                <c:pt idx="114">
                  <c:v>73.320000000000007</c:v>
                </c:pt>
                <c:pt idx="115">
                  <c:v>72.989999999999995</c:v>
                </c:pt>
                <c:pt idx="116">
                  <c:v>60.494999999999997</c:v>
                </c:pt>
                <c:pt idx="117">
                  <c:v>69.99666666666667</c:v>
                </c:pt>
                <c:pt idx="118">
                  <c:v>43.747500000000002</c:v>
                </c:pt>
                <c:pt idx="119">
                  <c:v>51.998000000000005</c:v>
                </c:pt>
                <c:pt idx="120">
                  <c:v>39.331666666666671</c:v>
                </c:pt>
                <c:pt idx="121">
                  <c:v>41</c:v>
                </c:pt>
                <c:pt idx="122">
                  <c:v>44.076999999999998</c:v>
                </c:pt>
                <c:pt idx="12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66386400"/>
        <c:axId val="466381696"/>
      </c:scatterChart>
      <c:valAx>
        <c:axId val="466386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1696"/>
        <c:crosses val="autoZero"/>
        <c:crossBetween val="midCat"/>
      </c:valAx>
      <c:valAx>
        <c:axId val="46638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6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19050</xdr:rowOff>
    </xdr:from>
    <xdr:to>
      <xdr:col>14</xdr:col>
      <xdr:colOff>304800</xdr:colOff>
      <xdr:row>14</xdr:row>
      <xdr:rowOff>85725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185737</xdr:rowOff>
    </xdr:from>
    <xdr:to>
      <xdr:col>14</xdr:col>
      <xdr:colOff>309562</xdr:colOff>
      <xdr:row>33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9525</xdr:colOff>
      <xdr:row>36</xdr:row>
      <xdr:rowOff>28575</xdr:rowOff>
    </xdr:from>
    <xdr:to>
      <xdr:col>14</xdr:col>
      <xdr:colOff>314325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14287</xdr:colOff>
      <xdr:row>56</xdr:row>
      <xdr:rowOff>23812</xdr:rowOff>
    </xdr:from>
    <xdr:to>
      <xdr:col>14</xdr:col>
      <xdr:colOff>319087</xdr:colOff>
      <xdr:row>70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33337</xdr:colOff>
      <xdr:row>75</xdr:row>
      <xdr:rowOff>9525</xdr:rowOff>
    </xdr:from>
    <xdr:to>
      <xdr:col>14</xdr:col>
      <xdr:colOff>338137</xdr:colOff>
      <xdr:row>89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21.748679166667" createdVersion="6" refreshedVersion="6" minRefreshableVersion="3" recordCount="123">
  <cacheSource type="worksheet">
    <worksheetSource name="Table5" r:id="rId2"/>
  </cacheSource>
  <cacheFields count="29">
    <cacheField name="Date" numFmtId="14">
      <sharedItems containsSemiMixedTypes="0" containsNonDate="0" containsDate="1" containsString="0" minDate="2017-04-17T00:00:00" maxDate="2017-10-14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2">
        <s v="NAS"/>
        <m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3" maxValue="14" count="17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3.1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Warnty" numFmtId="0">
      <sharedItems containsSemiMixedTypes="0" containsString="0" containsNumber="1" containsInteger="1" minValue="2" maxValue="5" count="3">
        <n v="3"/>
        <n v="5"/>
        <n v="2"/>
      </sharedItems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27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6.99" maxValue="619.98"/>
    </cacheField>
    <cacheField name="$ TB" numFmtId="164">
      <sharedItems containsSemiMixedTypes="0" containsString="0" containsNumber="1" minValue="0" maxValue="433.31666666666672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433.31666666666672"/>
    </cacheField>
    <cacheField name="$ TB/year" numFmtId="164">
      <sharedItems containsSemiMixedTypes="0" containsString="0" containsNumber="1" minValue="0" maxValue="86.663333333333341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212868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21.748679861113" createdVersion="6" refreshedVersion="6" minRefreshableVersion="3" recordCount="123">
  <cacheSource type="worksheet">
    <worksheetSource ref="A2:AB125" sheet="Drive Table" r:id="rId2"/>
  </cacheSource>
  <cacheFields count="28">
    <cacheField name="Date" numFmtId="14">
      <sharedItems containsSemiMixedTypes="0" containsNonDate="0" containsDate="1" containsString="0" minDate="2017-04-17T00:00:00" maxDate="2017-10-14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2">
        <s v="NAS"/>
        <m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3" maxValue="14" count="17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3.1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Warnty" numFmtId="0">
      <sharedItems containsSemiMixedTypes="0" containsString="0" containsNumber="1" containsInteger="1" minValue="2" maxValue="5" count="3">
        <n v="3"/>
        <n v="5"/>
        <n v="2"/>
      </sharedItems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27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6.99" maxValue="619.98"/>
    </cacheField>
    <cacheField name="$ TB" numFmtId="164">
      <sharedItems containsSemiMixedTypes="0" containsString="0" containsNumber="1" minValue="0" maxValue="433.31666666666672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433.31666666666672"/>
    </cacheField>
    <cacheField name="$ TB/year" numFmtId="164">
      <sharedItems containsSemiMixedTypes="0" containsString="0" containsNumber="1" minValue="0" maxValue="86.663333333333341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2128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">
  <r>
    <d v="2017-10-11T00:00:00"/>
    <x v="0"/>
    <s v="Deskstar NAS"/>
    <x v="0"/>
    <x v="0"/>
    <x v="0"/>
    <x v="0"/>
    <m/>
    <n v="11.99"/>
    <n v="0.33333333333333326"/>
    <n v="202"/>
    <x v="0"/>
    <n v="600000"/>
    <m/>
    <n v="1000000"/>
    <n v="100000000000000"/>
    <n v="30"/>
    <m/>
    <n v="7.3"/>
    <m/>
    <n v="133.99"/>
    <n v="33.497500000000002"/>
    <n v="163.46780000000001"/>
    <n v="40.866950000000003"/>
    <n v="8.1733900000000013"/>
    <m/>
    <m/>
    <m/>
    <s v="HGST drives are now"/>
  </r>
  <r>
    <d v="2017-10-11T00:00:00"/>
    <x v="0"/>
    <s v="Deskstar NAS"/>
    <x v="0"/>
    <x v="0"/>
    <x v="1"/>
    <x v="0"/>
    <m/>
    <n v="11.99"/>
    <n v="0.33333333333333326"/>
    <n v="227"/>
    <x v="0"/>
    <n v="600000"/>
    <m/>
    <n v="1000000"/>
    <n v="100000000000000"/>
    <n v="30"/>
    <m/>
    <n v="7.3"/>
    <m/>
    <n v="194.99"/>
    <n v="32.498333333333335"/>
    <n v="237.88780000000003"/>
    <n v="39.647966666666669"/>
    <n v="7.9295933333333339"/>
    <m/>
    <m/>
    <m/>
    <s v="owned by WD"/>
  </r>
  <r>
    <d v="2017-10-11T00:00:00"/>
    <x v="0"/>
    <s v="Deskstar NAS"/>
    <x v="0"/>
    <x v="0"/>
    <x v="2"/>
    <x v="0"/>
    <m/>
    <n v="11.99"/>
    <n v="0.33333333333333326"/>
    <n v="205"/>
    <x v="0"/>
    <n v="600000"/>
    <m/>
    <n v="1000000"/>
    <n v="100000000000000"/>
    <n v="30"/>
    <m/>
    <n v="5.0999999999999996"/>
    <m/>
    <n v="279.99"/>
    <n v="34.998750000000001"/>
    <n v="341.58780000000002"/>
    <n v="42.698475000000002"/>
    <n v="8.539695"/>
    <m/>
    <m/>
    <m/>
    <m/>
  </r>
  <r>
    <d v="2017-10-11T00:00:00"/>
    <x v="0"/>
    <s v="Deskstar NAS"/>
    <x v="0"/>
    <x v="0"/>
    <x v="3"/>
    <x v="0"/>
    <m/>
    <n v="11.99"/>
    <n v="0.33333333333333326"/>
    <n v="240"/>
    <x v="0"/>
    <n v="600000"/>
    <m/>
    <n v="1000000"/>
    <n v="100000000000000"/>
    <n v="30"/>
    <m/>
    <n v="5.0999999999999996"/>
    <m/>
    <n v="349.99"/>
    <n v="34.999000000000002"/>
    <n v="426.98779999999999"/>
    <n v="42.698779999999999"/>
    <n v="8.5397560000000006"/>
    <m/>
    <m/>
    <m/>
    <m/>
  </r>
  <r>
    <d v="2017-09-27T00:00:00"/>
    <x v="0"/>
    <s v="Travelstar 5K100"/>
    <x v="1"/>
    <x v="1"/>
    <x v="4"/>
    <x v="1"/>
    <n v="5.5"/>
    <n v="12"/>
    <n v="0"/>
    <n v="99"/>
    <x v="0"/>
    <n v="600000"/>
    <m/>
    <m/>
    <m/>
    <n v="4.5"/>
    <n v="1.6"/>
    <n v="0.8"/>
    <n v="0.2"/>
    <n v="49.99"/>
    <n v="49.99"/>
    <n v="60.9878"/>
    <n v="60.9878"/>
    <n v="12.197559999999999"/>
    <m/>
    <m/>
    <m/>
    <m/>
  </r>
  <r>
    <d v="2017-09-27T00:00:00"/>
    <x v="0"/>
    <s v="Travelstar 7K100"/>
    <x v="1"/>
    <x v="1"/>
    <x v="4"/>
    <x v="0"/>
    <n v="4.2"/>
    <n v="12"/>
    <n v="0.33333333333333326"/>
    <n v="128"/>
    <x v="0"/>
    <n v="600000"/>
    <m/>
    <m/>
    <m/>
    <n v="5.5"/>
    <n v="1.8"/>
    <n v="1"/>
    <n v="0.2"/>
    <n v="54.99"/>
    <n v="54.99"/>
    <n v="67.087800000000001"/>
    <n v="67.087800000000001"/>
    <n v="13.41756"/>
    <m/>
    <m/>
    <m/>
    <m/>
  </r>
  <r>
    <d v="2017-09-06T00:00:00"/>
    <x v="0"/>
    <s v="Ultrastar 7K6"/>
    <x v="0"/>
    <x v="0"/>
    <x v="5"/>
    <x v="0"/>
    <n v="4.16"/>
    <n v="8"/>
    <n v="0.33333333333333326"/>
    <n v="192"/>
    <x v="1"/>
    <n v="600000"/>
    <m/>
    <n v="2000000"/>
    <n v="1000000000000000"/>
    <m/>
    <n v="9.1"/>
    <n v="7.1"/>
    <m/>
    <n v="149.34"/>
    <n v="74.67"/>
    <n v="149.34"/>
    <n v="74.67"/>
    <n v="14.934000000000001"/>
    <m/>
    <n v="8.2179000000000002"/>
    <n v="4.1089500000000001"/>
    <m/>
  </r>
  <r>
    <d v="2017-09-06T00:00:00"/>
    <x v="0"/>
    <s v="Ultrastar 7K6"/>
    <x v="0"/>
    <x v="0"/>
    <x v="0"/>
    <x v="0"/>
    <n v="4.16"/>
    <n v="8"/>
    <n v="0.33333333333333326"/>
    <n v="192"/>
    <x v="1"/>
    <n v="600000"/>
    <m/>
    <n v="2000000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  <m/>
  </r>
  <r>
    <d v="2017-09-06T00:00:00"/>
    <x v="0"/>
    <s v="Ultrastar 7K6"/>
    <x v="0"/>
    <x v="0"/>
    <x v="6"/>
    <x v="0"/>
    <n v="4.16"/>
    <n v="8"/>
    <n v="0.33333333333333326"/>
    <n v="192"/>
    <x v="1"/>
    <n v="600000"/>
    <m/>
    <n v="2000000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  <m/>
  </r>
  <r>
    <d v="2017-09-06T00:00:00"/>
    <x v="0"/>
    <s v="Ultrastar 7K6"/>
    <x v="0"/>
    <x v="0"/>
    <x v="1"/>
    <x v="0"/>
    <n v="4.16"/>
    <n v="8"/>
    <n v="0.33333333333333326"/>
    <n v="216"/>
    <x v="1"/>
    <n v="600000"/>
    <m/>
    <n v="2000000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  <m/>
  </r>
  <r>
    <d v="2017-04-21T00:00:00"/>
    <x v="0"/>
    <s v="Ultrastar Archive Ha10"/>
    <x v="1"/>
    <x v="0"/>
    <x v="2"/>
    <x v="0"/>
    <m/>
    <m/>
    <n v="0.33333333333333326"/>
    <m/>
    <x v="1"/>
    <m/>
    <m/>
    <m/>
    <m/>
    <m/>
    <n v="7.6"/>
    <n v="5.0999999999999996"/>
    <m/>
    <n v="373"/>
    <n v="46.625"/>
    <n v="373"/>
    <n v="46.625"/>
    <n v="9.3249999999999993"/>
    <m/>
    <n v="6.1360319999999993"/>
    <n v="0.76700399999999991"/>
    <s v="Helium filled"/>
  </r>
  <r>
    <d v="2017-10-13T00:00:00"/>
    <x v="0"/>
    <s v="Ultrastar C10K1200"/>
    <x v="0"/>
    <x v="1"/>
    <x v="7"/>
    <x v="2"/>
    <n v="2.85"/>
    <n v="4.4000000000000004"/>
    <n v="0.94814814814814818"/>
    <n v="224"/>
    <x v="1"/>
    <m/>
    <m/>
    <n v="2000000"/>
    <n v="1E+16"/>
    <m/>
    <n v="6.5"/>
    <n v="4.7"/>
    <m/>
    <n v="180"/>
    <n v="150"/>
    <n v="180"/>
    <n v="150"/>
    <n v="30"/>
    <m/>
    <n v="5.5443432000000001"/>
    <n v="4.6202860000000001"/>
    <m/>
  </r>
  <r>
    <d v="2017-10-13T00:00:00"/>
    <x v="0"/>
    <s v="Ultrastar C10K1800"/>
    <x v="0"/>
    <x v="1"/>
    <x v="8"/>
    <x v="2"/>
    <n v="2.85"/>
    <n v="4.4000000000000004"/>
    <n v="0.94814814814814818"/>
    <n v="224"/>
    <x v="1"/>
    <m/>
    <m/>
    <n v="2000000"/>
    <n v="1E+16"/>
    <m/>
    <n v="6.6"/>
    <n v="4.7"/>
    <m/>
    <n v="315"/>
    <n v="175"/>
    <n v="315"/>
    <n v="175"/>
    <n v="35"/>
    <m/>
    <n v="5.5662576000000001"/>
    <n v="3.0923653333333334"/>
    <m/>
  </r>
  <r>
    <d v="2017-10-13T00:00:00"/>
    <x v="0"/>
    <s v="Ultrastar C15K600"/>
    <x v="0"/>
    <x v="1"/>
    <x v="9"/>
    <x v="3"/>
    <n v="1.99"/>
    <n v="3.1"/>
    <n v="1.7833333333333332"/>
    <n v="250"/>
    <x v="1"/>
    <m/>
    <m/>
    <n v="2000000"/>
    <n v="1E+17"/>
    <m/>
    <n v="7.5"/>
    <n v="5.8"/>
    <m/>
    <n v="259.99"/>
    <n v="433.31666666666672"/>
    <n v="259.99"/>
    <n v="433.31666666666672"/>
    <n v="86.663333333333341"/>
    <m/>
    <n v="6.7277208000000002"/>
    <n v="11.212868"/>
    <m/>
  </r>
  <r>
    <d v="2017-10-11T00:00:00"/>
    <x v="0"/>
    <s v="Ultrastar He6"/>
    <x v="0"/>
    <x v="0"/>
    <x v="1"/>
    <x v="0"/>
    <n v="4.16"/>
    <n v="9"/>
    <n v="0.33333333333333326"/>
    <n v="195"/>
    <x v="1"/>
    <n v="600000"/>
    <n v="550"/>
    <n v="2500000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  <s v="Helium filled"/>
  </r>
  <r>
    <d v="2017-10-11T00:00:00"/>
    <x v="0"/>
    <s v="Ultrastar He8"/>
    <x v="0"/>
    <x v="0"/>
    <x v="2"/>
    <x v="0"/>
    <n v="4.16"/>
    <n v="8.5"/>
    <n v="0.33333333333333326"/>
    <n v="237"/>
    <x v="1"/>
    <n v="600000"/>
    <n v="550"/>
    <n v="2500000"/>
    <n v="1000000000000000"/>
    <m/>
    <n v="7.4"/>
    <n v="5.0999999999999996"/>
    <m/>
    <n v="285"/>
    <n v="35.625"/>
    <n v="285"/>
    <n v="35.625"/>
    <n v="7.125"/>
    <m/>
    <n v="6.0922031999999993"/>
    <n v="0.76152539999999991"/>
    <s v="Helium filled"/>
  </r>
  <r>
    <d v="2017-09-27T00:00:00"/>
    <x v="0"/>
    <s v="Ultrastar He10"/>
    <x v="0"/>
    <x v="0"/>
    <x v="3"/>
    <x v="0"/>
    <n v="4.16"/>
    <n v="8"/>
    <n v="0.33333333333333326"/>
    <n v="237"/>
    <x v="1"/>
    <n v="600000"/>
    <n v="550"/>
    <n v="2500000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  <s v="Helium filled"/>
  </r>
  <r>
    <d v="2017-09-27T00:00:00"/>
    <x v="0"/>
    <s v="Ultrastar He12"/>
    <x v="0"/>
    <x v="0"/>
    <x v="10"/>
    <x v="0"/>
    <n v="4.16"/>
    <n v="8.6"/>
    <n v="0.33333333333333326"/>
    <n v="243"/>
    <x v="1"/>
    <n v="600000"/>
    <n v="550"/>
    <n v="2500000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  <s v="Helium filled"/>
  </r>
  <r>
    <d v="2017-10-13T00:00:00"/>
    <x v="0"/>
    <s v="Ultrastar Hs14"/>
    <x v="1"/>
    <x v="0"/>
    <x v="11"/>
    <x v="0"/>
    <n v="4.16"/>
    <n v="12"/>
    <n v="0.33333333333333326"/>
    <n v="233"/>
    <x v="1"/>
    <n v="600000"/>
    <n v="550"/>
    <n v="2500000"/>
    <n v="1000000000000000"/>
    <m/>
    <n v="6.4"/>
    <n v="5.2"/>
    <m/>
    <m/>
    <n v="0"/>
    <n v="0"/>
    <n v="0"/>
    <n v="0"/>
    <m/>
    <n v="5.960716800000001"/>
    <n v="0.4257654857142858"/>
    <s v="Helium filled, Shingled (SMR)"/>
  </r>
  <r>
    <d v="2017-08-14T00:00:00"/>
    <x v="1"/>
    <s v="Archive"/>
    <x v="1"/>
    <x v="0"/>
    <x v="6"/>
    <x v="4"/>
    <m/>
    <m/>
    <n v="9.259259259259256E-2"/>
    <n v="146"/>
    <x v="0"/>
    <n v="300000"/>
    <n v="180"/>
    <n v="800000"/>
    <n v="100000000000000"/>
    <n v="24"/>
    <n v="5.5"/>
    <n v="3.5"/>
    <n v="0.74"/>
    <n v="192.01"/>
    <n v="38.402000000000001"/>
    <n v="234.25219999999999"/>
    <n v="46.850439999999999"/>
    <n v="9.3700879999999991"/>
    <m/>
    <n v="4.2733080000000001"/>
    <n v="0.85466160000000002"/>
    <s v="Shingled Magnetic Recording (SMR)"/>
  </r>
  <r>
    <d v="2017-08-14T00:00:00"/>
    <x v="1"/>
    <s v="Archive"/>
    <x v="1"/>
    <x v="0"/>
    <x v="1"/>
    <x v="4"/>
    <m/>
    <m/>
    <n v="9.259259259259256E-2"/>
    <n v="150"/>
    <x v="0"/>
    <n v="300000"/>
    <n v="180"/>
    <n v="800000"/>
    <n v="100000000000000"/>
    <n v="24"/>
    <n v="7.5"/>
    <n v="5"/>
    <n v="0.99"/>
    <n v="203.47"/>
    <n v="33.911666666666669"/>
    <n v="248.23339999999999"/>
    <n v="41.372233333333334"/>
    <n v="8.2744466666666661"/>
    <m/>
    <n v="6.0264600000000002"/>
    <n v="1.00441"/>
    <s v="Shingled Magnetic Recording (SMR)"/>
  </r>
  <r>
    <d v="2017-10-11T00:00:00"/>
    <x v="1"/>
    <s v="Archive"/>
    <x v="1"/>
    <x v="0"/>
    <x v="2"/>
    <x v="4"/>
    <m/>
    <m/>
    <n v="9.259259259259256E-2"/>
    <n v="150"/>
    <x v="0"/>
    <n v="300000"/>
    <n v="180"/>
    <n v="800000"/>
    <n v="100000000000000"/>
    <n v="24"/>
    <n v="7.5"/>
    <n v="5"/>
    <n v="0.99"/>
    <n v="229.99"/>
    <n v="28.748750000000001"/>
    <n v="280.58780000000002"/>
    <n v="35.073475000000002"/>
    <n v="7.0146950000000006"/>
    <m/>
    <n v="6.0264600000000002"/>
    <n v="0.75330750000000002"/>
    <s v="Shingled Magnetic Recording (SMR)"/>
  </r>
  <r>
    <d v="2017-09-29T00:00:00"/>
    <x v="1"/>
    <s v="BarraCuda"/>
    <x v="1"/>
    <x v="0"/>
    <x v="4"/>
    <x v="1"/>
    <n v="4.16"/>
    <n v="9.5"/>
    <n v="0"/>
    <n v="210"/>
    <x v="2"/>
    <n v="300000"/>
    <n v="55"/>
    <m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  <m/>
  </r>
  <r>
    <d v="2017-09-27T00:00:00"/>
    <x v="1"/>
    <s v="BarraCuda"/>
    <x v="1"/>
    <x v="0"/>
    <x v="5"/>
    <x v="1"/>
    <n v="6"/>
    <n v="15"/>
    <n v="0"/>
    <n v="210"/>
    <x v="2"/>
    <n v="600000"/>
    <n v="55"/>
    <m/>
    <n v="100000000000000"/>
    <n v="30"/>
    <n v="8"/>
    <n v="5.4"/>
    <n v="0.75"/>
    <n v="66.989999999999995"/>
    <n v="33.494999999999997"/>
    <n v="89.096699999999998"/>
    <n v="44.548349999999999"/>
    <n v="8.9096700000000002"/>
    <m/>
    <n v="6.486662400000001"/>
    <n v="3.2433312000000005"/>
    <m/>
  </r>
  <r>
    <d v="2017-10-06T00:00:00"/>
    <x v="1"/>
    <s v="BarraCuda"/>
    <x v="1"/>
    <x v="0"/>
    <x v="12"/>
    <x v="1"/>
    <n v="6"/>
    <n v="15"/>
    <n v="0"/>
    <n v="210"/>
    <x v="2"/>
    <n v="600000"/>
    <n v="55"/>
    <m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  <m/>
  </r>
  <r>
    <d v="2017-10-11T00:00:00"/>
    <x v="1"/>
    <s v="BarraCuda"/>
    <x v="1"/>
    <x v="0"/>
    <x v="0"/>
    <x v="1"/>
    <n v="6"/>
    <n v="15"/>
    <n v="0"/>
    <n v="190"/>
    <x v="2"/>
    <n v="600000"/>
    <n v="55"/>
    <m/>
    <n v="100000000000000"/>
    <n v="24"/>
    <n v="5"/>
    <n v="2.5"/>
    <n v="0.25"/>
    <n v="114.99"/>
    <n v="28.747499999999999"/>
    <n v="152.9367"/>
    <n v="38.234175"/>
    <n v="7.6468350000000003"/>
    <m/>
    <n v="3.2871600000000001"/>
    <n v="0.82179000000000002"/>
    <m/>
  </r>
  <r>
    <d v="2017-10-11T00:00:00"/>
    <x v="1"/>
    <s v="BarraCuda"/>
    <x v="1"/>
    <x v="1"/>
    <x v="4"/>
    <x v="1"/>
    <m/>
    <m/>
    <n v="0"/>
    <n v="140"/>
    <x v="2"/>
    <n v="600000"/>
    <m/>
    <m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  <m/>
  </r>
  <r>
    <d v="2017-10-11T00:00:00"/>
    <x v="1"/>
    <s v="BarraCuda"/>
    <x v="1"/>
    <x v="1"/>
    <x v="5"/>
    <x v="1"/>
    <m/>
    <m/>
    <n v="0"/>
    <n v="140"/>
    <x v="2"/>
    <n v="600000"/>
    <m/>
    <m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  <m/>
  </r>
  <r>
    <d v="2017-10-11T00:00:00"/>
    <x v="1"/>
    <s v="BarraCuda"/>
    <x v="1"/>
    <x v="1"/>
    <x v="12"/>
    <x v="1"/>
    <m/>
    <m/>
    <n v="0"/>
    <n v="140"/>
    <x v="2"/>
    <n v="600000"/>
    <m/>
    <m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  <m/>
  </r>
  <r>
    <d v="2017-10-11T00:00:00"/>
    <x v="1"/>
    <s v="BarraCuda"/>
    <x v="1"/>
    <x v="1"/>
    <x v="0"/>
    <x v="1"/>
    <m/>
    <m/>
    <n v="0"/>
    <n v="140"/>
    <x v="2"/>
    <n v="600000"/>
    <m/>
    <m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  <m/>
  </r>
  <r>
    <d v="2017-07-31T00:00:00"/>
    <x v="1"/>
    <s v="BarraCuda"/>
    <x v="1"/>
    <x v="1"/>
    <x v="6"/>
    <x v="1"/>
    <m/>
    <m/>
    <n v="0"/>
    <n v="140"/>
    <x v="2"/>
    <n v="600000"/>
    <m/>
    <m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  <m/>
  </r>
  <r>
    <d v="2017-10-11T00:00:00"/>
    <x v="1"/>
    <s v="BarraCuda Pro"/>
    <x v="1"/>
    <x v="0"/>
    <x v="5"/>
    <x v="0"/>
    <n v="4.16"/>
    <m/>
    <n v="0.33333333333333326"/>
    <n v="195"/>
    <x v="1"/>
    <n v="600000"/>
    <n v="180"/>
    <m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  <m/>
  </r>
  <r>
    <d v="2017-10-11T00:00:00"/>
    <x v="1"/>
    <s v="BarraCuda Pro"/>
    <x v="1"/>
    <x v="0"/>
    <x v="0"/>
    <x v="0"/>
    <n v="4.16"/>
    <m/>
    <n v="0.33333333333333326"/>
    <n v="214"/>
    <x v="1"/>
    <n v="600000"/>
    <n v="180"/>
    <m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  <m/>
  </r>
  <r>
    <d v="2017-05-06T00:00:00"/>
    <x v="1"/>
    <s v="BarraCuda Pro"/>
    <x v="1"/>
    <x v="0"/>
    <x v="6"/>
    <x v="0"/>
    <n v="4.16"/>
    <m/>
    <n v="0.33333333333333326"/>
    <n v="220"/>
    <x v="1"/>
    <n v="300000"/>
    <n v="300"/>
    <m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  <m/>
  </r>
  <r>
    <d v="2017-10-11T00:00:00"/>
    <x v="1"/>
    <s v="BarraCuda Pro"/>
    <x v="1"/>
    <x v="0"/>
    <x v="1"/>
    <x v="0"/>
    <n v="4.16"/>
    <m/>
    <n v="0.33333333333333326"/>
    <n v="180"/>
    <x v="1"/>
    <n v="300000"/>
    <n v="300"/>
    <m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  <m/>
  </r>
  <r>
    <d v="2017-10-11T00:00:00"/>
    <x v="1"/>
    <s v="BarraCuda Pro"/>
    <x v="1"/>
    <x v="0"/>
    <x v="2"/>
    <x v="0"/>
    <n v="4.16"/>
    <m/>
    <n v="0.33333333333333326"/>
    <n v="220"/>
    <x v="1"/>
    <n v="300000"/>
    <n v="300"/>
    <m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  <m/>
  </r>
  <r>
    <d v="2017-10-11T00:00:00"/>
    <x v="1"/>
    <s v="BarraCuda Pro"/>
    <x v="1"/>
    <x v="0"/>
    <x v="3"/>
    <x v="0"/>
    <n v="4.16"/>
    <m/>
    <n v="0.33333333333333326"/>
    <n v="220"/>
    <x v="1"/>
    <n v="300000"/>
    <n v="300"/>
    <m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  <m/>
  </r>
  <r>
    <d v="2017-10-11T00:00:00"/>
    <x v="1"/>
    <s v="BarraCuda Pro"/>
    <x v="1"/>
    <x v="0"/>
    <x v="10"/>
    <x v="0"/>
    <m/>
    <m/>
    <n v="0.33333333333333326"/>
    <n v="250"/>
    <x v="1"/>
    <m/>
    <n v="300"/>
    <m/>
    <m/>
    <m/>
    <m/>
    <m/>
    <m/>
    <n v="524.99"/>
    <n v="43.749166666666667"/>
    <n v="524.99"/>
    <n v="43.749166666666667"/>
    <n v="8.7498333333333331"/>
    <m/>
    <m/>
    <m/>
    <m/>
  </r>
  <r>
    <d v="2017-09-03T00:00:00"/>
    <x v="1"/>
    <s v="Constellation ES.3 "/>
    <x v="0"/>
    <x v="0"/>
    <x v="4"/>
    <x v="0"/>
    <n v="4.16"/>
    <m/>
    <n v="0.33333333333333326"/>
    <n v="175"/>
    <x v="1"/>
    <m/>
    <m/>
    <n v="2000000"/>
    <n v="1000000000000000"/>
    <n v="31.200000000000003"/>
    <n v="8.08"/>
    <n v="4.45"/>
    <n v="0.8"/>
    <n v="90"/>
    <n v="90"/>
    <n v="90"/>
    <n v="90"/>
    <n v="18"/>
    <m/>
    <n v="5.6714467200000014"/>
    <n v="5.6714467200000014"/>
    <m/>
  </r>
  <r>
    <d v="2017-10-11T00:00:00"/>
    <x v="1"/>
    <s v="Constellation ES.3 "/>
    <x v="0"/>
    <x v="0"/>
    <x v="5"/>
    <x v="0"/>
    <n v="4.16"/>
    <m/>
    <n v="0.33333333333333326"/>
    <n v="175"/>
    <x v="1"/>
    <m/>
    <m/>
    <n v="2000000"/>
    <n v="1000000000000000"/>
    <n v="31.200000000000003"/>
    <n v="9.42"/>
    <n v="5.17"/>
    <n v="0.87"/>
    <n v="164"/>
    <n v="82"/>
    <n v="164"/>
    <n v="82"/>
    <n v="16.399999999999999"/>
    <m/>
    <n v="6.5962344000000002"/>
    <n v="3.2981172000000001"/>
    <m/>
  </r>
  <r>
    <d v="2017-09-03T00:00:00"/>
    <x v="1"/>
    <s v="Constellation ES.3 "/>
    <x v="0"/>
    <x v="0"/>
    <x v="12"/>
    <x v="0"/>
    <n v="4.16"/>
    <m/>
    <n v="0.33333333333333326"/>
    <n v="175"/>
    <x v="1"/>
    <m/>
    <m/>
    <n v="2000000"/>
    <n v="1000000000000000"/>
    <n v="31.200000000000003"/>
    <n v="11.27"/>
    <n v="6.73"/>
    <n v="0.87"/>
    <n v="129.99"/>
    <n v="43.330000000000005"/>
    <n v="129.99"/>
    <n v="43.330000000000005"/>
    <n v="8.6660000000000004"/>
    <m/>
    <n v="8.3691093600000013"/>
    <n v="2.7897031200000004"/>
    <m/>
  </r>
  <r>
    <d v="2017-10-11T00:00:00"/>
    <x v="1"/>
    <s v="Constellation ES.3 "/>
    <x v="0"/>
    <x v="0"/>
    <x v="0"/>
    <x v="0"/>
    <n v="4.16"/>
    <m/>
    <n v="0.33333333333333326"/>
    <n v="175"/>
    <x v="1"/>
    <m/>
    <m/>
    <n v="2000000"/>
    <n v="1000000000000000"/>
    <n v="31.200000000000003"/>
    <n v="11.27"/>
    <n v="6.73"/>
    <n v="0.87"/>
    <n v="175"/>
    <n v="43.75"/>
    <n v="175"/>
    <n v="43.75"/>
    <n v="8.75"/>
    <m/>
    <n v="8.3691093600000013"/>
    <n v="2.0922773400000003"/>
    <m/>
  </r>
  <r>
    <d v="2017-08-24T00:00:00"/>
    <x v="1"/>
    <s v="Enterprise Capacity v5"/>
    <x v="0"/>
    <x v="0"/>
    <x v="4"/>
    <x v="0"/>
    <n v="4.16"/>
    <m/>
    <n v="0.33333333333333326"/>
    <n v="215"/>
    <x v="1"/>
    <m/>
    <n v="550"/>
    <n v="2000000"/>
    <n v="1000000000000000"/>
    <m/>
    <n v="5.91"/>
    <n v="4.25"/>
    <m/>
    <n v="99.99"/>
    <n v="99.99"/>
    <n v="99.99"/>
    <n v="99.99"/>
    <n v="19.997999999999998"/>
    <m/>
    <n v="5.0205890399999999"/>
    <n v="5.0205890399999999"/>
    <m/>
  </r>
  <r>
    <d v="2017-08-23T00:00:00"/>
    <x v="1"/>
    <s v="Enterprise Capacity v5"/>
    <x v="0"/>
    <x v="0"/>
    <x v="5"/>
    <x v="0"/>
    <n v="4.16"/>
    <m/>
    <n v="0.33333333333333326"/>
    <n v="226"/>
    <x v="1"/>
    <m/>
    <n v="550"/>
    <n v="2000000"/>
    <n v="1000000000000000"/>
    <m/>
    <n v="5.91"/>
    <n v="4.25"/>
    <n v="0.6"/>
    <n v="107.991"/>
    <n v="53.9955"/>
    <n v="107.991"/>
    <n v="53.9955"/>
    <n v="10.799099999999999"/>
    <m/>
    <n v="5.0205890399999999"/>
    <n v="2.51029452"/>
    <m/>
  </r>
  <r>
    <d v="2017-08-24T00:00:00"/>
    <x v="1"/>
    <s v="Enterprise Capacity v5"/>
    <x v="0"/>
    <x v="0"/>
    <x v="12"/>
    <x v="0"/>
    <n v="4.16"/>
    <m/>
    <n v="0.33333333333333326"/>
    <n v="215"/>
    <x v="1"/>
    <m/>
    <n v="550"/>
    <n v="2000000"/>
    <n v="1000000000000000"/>
    <m/>
    <n v="6.9"/>
    <n v="5.45"/>
    <n v="0.6"/>
    <n v="176.92"/>
    <n v="58.973333333333329"/>
    <n v="176.92"/>
    <n v="58.973333333333329"/>
    <n v="11.794666666666666"/>
    <m/>
    <n v="6.2894328000000002"/>
    <n v="2.0964776000000001"/>
    <m/>
  </r>
  <r>
    <d v="2017-10-11T00:00:00"/>
    <x v="1"/>
    <s v="Enterprise Capacity v5"/>
    <x v="0"/>
    <x v="0"/>
    <x v="0"/>
    <x v="0"/>
    <n v="4.16"/>
    <m/>
    <n v="0.33333333333333326"/>
    <n v="226"/>
    <x v="1"/>
    <m/>
    <n v="550"/>
    <n v="2000000"/>
    <n v="1000000000000000"/>
    <m/>
    <n v="6.9"/>
    <n v="5.45"/>
    <n v="0.6"/>
    <n v="154.99"/>
    <n v="38.747500000000002"/>
    <n v="154.99"/>
    <n v="38.747500000000002"/>
    <n v="7.7495000000000003"/>
    <m/>
    <n v="6.2894328000000002"/>
    <n v="1.5723582"/>
    <m/>
  </r>
  <r>
    <d v="2017-09-15T00:00:00"/>
    <x v="1"/>
    <s v="Enterprise Capacity v5"/>
    <x v="0"/>
    <x v="0"/>
    <x v="1"/>
    <x v="0"/>
    <n v="4.16"/>
    <m/>
    <n v="0.33333333333333326"/>
    <n v="226"/>
    <x v="1"/>
    <m/>
    <n v="550"/>
    <n v="2000000"/>
    <n v="1000000000000000"/>
    <m/>
    <n v="9.8000000000000007"/>
    <n v="8.15"/>
    <n v="0.6"/>
    <n v="220.49100000000001"/>
    <n v="36.7485"/>
    <n v="220.49100000000001"/>
    <n v="36.7485"/>
    <n v="7.3497000000000003"/>
    <m/>
    <n v="9.2917056000000002"/>
    <n v="1.5486176"/>
    <m/>
  </r>
  <r>
    <d v="2017-08-23T00:00:00"/>
    <x v="1"/>
    <s v="Enterprise Capacity v5"/>
    <x v="0"/>
    <x v="0"/>
    <x v="2"/>
    <x v="0"/>
    <n v="4.16"/>
    <m/>
    <n v="0.33333333333333326"/>
    <n v="249"/>
    <x v="1"/>
    <m/>
    <n v="550"/>
    <n v="2000000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  <m/>
  </r>
  <r>
    <d v="2017-10-11T00:00:00"/>
    <x v="1"/>
    <s v="Enterprise Capacity He v6"/>
    <x v="0"/>
    <x v="0"/>
    <x v="2"/>
    <x v="0"/>
    <n v="4.16"/>
    <m/>
    <n v="0.33333333333333326"/>
    <n v="237"/>
    <x v="1"/>
    <n v="600000"/>
    <n v="550"/>
    <n v="2500000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  <s v="Helium filled"/>
  </r>
  <r>
    <d v="2017-10-11T00:00:00"/>
    <x v="1"/>
    <s v="Enterprise Capacity He v6"/>
    <x v="0"/>
    <x v="0"/>
    <x v="3"/>
    <x v="0"/>
    <n v="4.16"/>
    <m/>
    <n v="0.33333333333333326"/>
    <n v="237"/>
    <x v="1"/>
    <n v="600000"/>
    <n v="550"/>
    <n v="2500000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  <s v="Helium filled"/>
  </r>
  <r>
    <d v="2017-10-11T00:00:00"/>
    <x v="1"/>
    <s v="Enterprise Capacity He v7"/>
    <x v="0"/>
    <x v="0"/>
    <x v="10"/>
    <x v="0"/>
    <n v="4.16"/>
    <m/>
    <n v="0.33333333333333326"/>
    <n v="261"/>
    <x v="1"/>
    <n v="600000"/>
    <n v="550"/>
    <n v="2500000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  <s v="Helium filled"/>
  </r>
  <r>
    <d v="2017-09-27T00:00:00"/>
    <x v="1"/>
    <s v="Enterprise Capacity"/>
    <x v="0"/>
    <x v="1"/>
    <x v="4"/>
    <x v="0"/>
    <n v="4.16"/>
    <m/>
    <n v="0.33333333333333326"/>
    <n v="130"/>
    <x v="1"/>
    <n v="300000"/>
    <n v="550"/>
    <n v="2000000"/>
    <n v="1000000000000000"/>
    <n v="10.899999999999999"/>
    <n v="4.74"/>
    <n v="3.51"/>
    <n v="1.1399999999999999"/>
    <n v="182.13"/>
    <n v="182.13"/>
    <n v="182.13"/>
    <n v="182.13"/>
    <n v="36.426000000000002"/>
    <m/>
    <n v="4.1155243199999996"/>
    <n v="4.1155243199999996"/>
    <m/>
  </r>
  <r>
    <d v="2017-09-27T00:00:00"/>
    <x v="1"/>
    <s v="Enterprise Capacity"/>
    <x v="0"/>
    <x v="1"/>
    <x v="5"/>
    <x v="0"/>
    <n v="4.16"/>
    <m/>
    <n v="0.33333333333333326"/>
    <n v="130"/>
    <x v="1"/>
    <n v="300000"/>
    <n v="550"/>
    <n v="2000000"/>
    <n v="1000000000000000"/>
    <n v="10.899999999999999"/>
    <n v="5.98"/>
    <n v="3.87"/>
    <n v="1.1399999999999999"/>
    <n v="329.99"/>
    <n v="164.995"/>
    <n v="329.99"/>
    <n v="164.995"/>
    <n v="32.999000000000002"/>
    <m/>
    <n v="4.7028302400000008"/>
    <n v="2.3514151200000004"/>
    <m/>
  </r>
  <r>
    <d v="2017-10-11T00:00:00"/>
    <x v="1"/>
    <s v="Enterprise Performance 10K.9"/>
    <x v="0"/>
    <x v="1"/>
    <x v="8"/>
    <x v="5"/>
    <n v="2.9"/>
    <m/>
    <n v="0.94444444444444442"/>
    <n v="270"/>
    <x v="1"/>
    <m/>
    <n v="550"/>
    <n v="2000000"/>
    <n v="1E+16"/>
    <m/>
    <n v="6.95"/>
    <n v="4.26"/>
    <m/>
    <m/>
    <n v="0"/>
    <n v="0"/>
    <n v="0"/>
    <n v="0"/>
    <m/>
    <n v="5.2572645600000003"/>
    <n v="2.9207025333333334"/>
    <s v="16GiB NAND"/>
  </r>
  <r>
    <d v="2017-10-11T00:00:00"/>
    <x v="1"/>
    <s v="Enterprise Performance 10K.9"/>
    <x v="0"/>
    <x v="1"/>
    <x v="13"/>
    <x v="5"/>
    <n v="2.9"/>
    <m/>
    <n v="0.94444444444444442"/>
    <n v="270"/>
    <x v="1"/>
    <m/>
    <n v="550"/>
    <n v="2000000"/>
    <n v="1E+16"/>
    <m/>
    <n v="8.57"/>
    <n v="4.9000000000000004"/>
    <m/>
    <m/>
    <n v="0"/>
    <n v="0"/>
    <n v="0"/>
    <n v="0"/>
    <m/>
    <n v="6.1732864799999998"/>
    <n v="2.5722027000000001"/>
    <s v="16GiB NAND"/>
  </r>
  <r>
    <d v="2017-10-11T00:00:00"/>
    <x v="1"/>
    <s v="Enterprise Performance 15K.6"/>
    <x v="0"/>
    <x v="0"/>
    <x v="14"/>
    <x v="6"/>
    <n v="2"/>
    <m/>
    <n v="1.7777777777777777"/>
    <n v="215"/>
    <x v="1"/>
    <m/>
    <n v="550"/>
    <n v="2000000"/>
    <n v="1E+16"/>
    <m/>
    <n v="7.6"/>
    <n v="5.7"/>
    <m/>
    <m/>
    <n v="0"/>
    <n v="0"/>
    <n v="0"/>
    <n v="0"/>
    <m/>
    <n v="6.6619776000000002"/>
    <n v="7.4021973333333335"/>
    <s v="8GiB NAND"/>
  </r>
  <r>
    <d v="2017-10-11T00:00:00"/>
    <x v="1"/>
    <s v="FireCuda SSHD"/>
    <x v="1"/>
    <x v="0"/>
    <x v="4"/>
    <x v="0"/>
    <m/>
    <m/>
    <n v="0.33333333333333326"/>
    <m/>
    <x v="1"/>
    <m/>
    <m/>
    <m/>
    <m/>
    <n v="24"/>
    <n v="5.9"/>
    <n v="4.5"/>
    <n v="0.63"/>
    <n v="75.989999999999995"/>
    <n v="75.989999999999995"/>
    <n v="75.989999999999995"/>
    <n v="75.989999999999995"/>
    <n v="15.197999999999999"/>
    <m/>
    <n v="5.2375416000000001"/>
    <n v="5.2375416000000001"/>
    <s v="8GiB NAND"/>
  </r>
  <r>
    <d v="2017-10-11T00:00:00"/>
    <x v="1"/>
    <s v="FireCuda SSHD"/>
    <x v="1"/>
    <x v="0"/>
    <x v="5"/>
    <x v="0"/>
    <m/>
    <m/>
    <n v="0.33333333333333326"/>
    <m/>
    <x v="1"/>
    <m/>
    <m/>
    <m/>
    <m/>
    <n v="24"/>
    <n v="6.7"/>
    <n v="3.36"/>
    <n v="0.75"/>
    <n v="99.99"/>
    <n v="49.994999999999997"/>
    <n v="99.99"/>
    <n v="49.994999999999997"/>
    <n v="9.9989999999999988"/>
    <m/>
    <n v="4.4135601600000003"/>
    <n v="2.2067800800000001"/>
    <s v="8GiB NAND"/>
  </r>
  <r>
    <d v="2017-09-27T00:00:00"/>
    <x v="1"/>
    <s v="FireCuda SSHD"/>
    <x v="1"/>
    <x v="1"/>
    <x v="4"/>
    <x v="1"/>
    <m/>
    <m/>
    <n v="0"/>
    <m/>
    <x v="1"/>
    <m/>
    <m/>
    <m/>
    <m/>
    <n v="5"/>
    <n v="1.7"/>
    <n v="1.45"/>
    <m/>
    <n v="62.99"/>
    <n v="62.99"/>
    <n v="62.99"/>
    <n v="62.99"/>
    <n v="12.598000000000001"/>
    <m/>
    <n v="1.64358"/>
    <n v="1.64358"/>
    <s v="8GiB NAND"/>
  </r>
  <r>
    <d v="2017-09-27T00:00:00"/>
    <x v="1"/>
    <s v="FireCuda SSHD"/>
    <x v="1"/>
    <x v="1"/>
    <x v="5"/>
    <x v="1"/>
    <m/>
    <m/>
    <n v="0"/>
    <m/>
    <x v="1"/>
    <m/>
    <m/>
    <m/>
    <m/>
    <n v="5"/>
    <n v="1.8"/>
    <n v="1.5"/>
    <m/>
    <n v="89.99"/>
    <n v="44.994999999999997"/>
    <n v="89.99"/>
    <n v="44.994999999999997"/>
    <n v="8.9989999999999988"/>
    <m/>
    <n v="1.7093232"/>
    <n v="0.85466160000000002"/>
    <s v="8GiB NAND"/>
  </r>
  <r>
    <d v="2017-10-11T00:00:00"/>
    <x v="1"/>
    <s v="IronWolf"/>
    <x v="0"/>
    <x v="0"/>
    <x v="4"/>
    <x v="4"/>
    <n v="5.0999999999999996"/>
    <n v="11.99"/>
    <n v="9.259259259259256E-2"/>
    <n v="180"/>
    <x v="0"/>
    <n v="600000"/>
    <n v="180"/>
    <n v="1000000"/>
    <n v="100000000000000"/>
    <n v="14.399999999999999"/>
    <n v="3.76"/>
    <n v="2.5"/>
    <n v="0.8"/>
    <n v="64.98"/>
    <n v="64.98"/>
    <n v="79.275599999999997"/>
    <n v="79.275599999999997"/>
    <n v="15.855119999999999"/>
    <m/>
    <n v="3.0154214399999999"/>
    <n v="3.0154214399999999"/>
    <s v="8GiB NAND"/>
  </r>
  <r>
    <d v="2017-10-11T00:00:00"/>
    <x v="1"/>
    <s v="IronWolf"/>
    <x v="0"/>
    <x v="0"/>
    <x v="5"/>
    <x v="4"/>
    <n v="5.0999999999999996"/>
    <n v="11.99"/>
    <n v="9.259259259259256E-2"/>
    <n v="180"/>
    <x v="0"/>
    <n v="600000"/>
    <n v="180"/>
    <n v="100000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  <m/>
  </r>
  <r>
    <d v="2017-10-11T00:00:00"/>
    <x v="1"/>
    <s v="IronWolf"/>
    <x v="0"/>
    <x v="0"/>
    <x v="12"/>
    <x v="4"/>
    <n v="5.0999999999999996"/>
    <n v="11.99"/>
    <n v="9.259259259259256E-2"/>
    <n v="180"/>
    <x v="0"/>
    <n v="600000"/>
    <n v="180"/>
    <n v="100000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  <m/>
  </r>
  <r>
    <d v="2017-10-11T00:00:00"/>
    <x v="1"/>
    <s v="IronWolf"/>
    <x v="0"/>
    <x v="0"/>
    <x v="0"/>
    <x v="4"/>
    <n v="5.0999999999999996"/>
    <n v="9.5"/>
    <n v="9.259259259259256E-2"/>
    <n v="180"/>
    <x v="0"/>
    <n v="600000"/>
    <n v="180"/>
    <n v="1000000"/>
    <n v="100000000000000"/>
    <n v="21.6"/>
    <n v="4.8"/>
    <n v="3.95"/>
    <n v="0.5"/>
    <n v="129"/>
    <n v="32.25"/>
    <n v="157.38"/>
    <n v="39.344999999999999"/>
    <n v="7.8689999999999998"/>
    <m/>
    <n v="4.5143664000000001"/>
    <n v="1.1285916"/>
    <m/>
  </r>
  <r>
    <d v="2017-10-11T00:00:00"/>
    <x v="1"/>
    <s v="IronWolf"/>
    <x v="0"/>
    <x v="0"/>
    <x v="1"/>
    <x v="0"/>
    <n v="4"/>
    <n v="9.5"/>
    <n v="0.33333333333333326"/>
    <n v="210"/>
    <x v="0"/>
    <n v="600000"/>
    <n v="180"/>
    <n v="100000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  <m/>
  </r>
  <r>
    <d v="2017-10-11T00:00:00"/>
    <x v="1"/>
    <s v="IronWolf"/>
    <x v="0"/>
    <x v="0"/>
    <x v="2"/>
    <x v="0"/>
    <n v="4"/>
    <n v="9.5"/>
    <n v="0.33333333333333326"/>
    <n v="210"/>
    <x v="0"/>
    <n v="600000"/>
    <n v="180"/>
    <n v="100000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  <m/>
  </r>
  <r>
    <d v="2017-10-11T00:00:00"/>
    <x v="1"/>
    <s v="IronWolf"/>
    <x v="0"/>
    <x v="0"/>
    <x v="3"/>
    <x v="0"/>
    <m/>
    <m/>
    <n v="0.33333333333333326"/>
    <n v="210"/>
    <x v="0"/>
    <n v="600000"/>
    <n v="180"/>
    <n v="1000000"/>
    <n v="1000000000000000"/>
    <n v="21.6"/>
    <n v="7.8"/>
    <n v="5"/>
    <n v="0.8"/>
    <n v="379.99"/>
    <n v="37.999000000000002"/>
    <n v="463.58780000000002"/>
    <n v="46.358780000000003"/>
    <n v="9.2717559999999999"/>
    <m/>
    <n v="6.0922032000000002"/>
    <n v="0.60922032000000004"/>
    <m/>
  </r>
  <r>
    <d v="2017-09-29T00:00:00"/>
    <x v="1"/>
    <s v="IronWolf Pro"/>
    <x v="0"/>
    <x v="0"/>
    <x v="5"/>
    <x v="0"/>
    <n v="4.16"/>
    <m/>
    <n v="0.33333333333333326"/>
    <n v="195"/>
    <x v="1"/>
    <m/>
    <n v="300"/>
    <n v="1200000"/>
    <n v="1000000000000000"/>
    <n v="24"/>
    <n v="6.5"/>
    <n v="4.6100000000000003"/>
    <n v="0.8"/>
    <n v="144.99"/>
    <n v="72.495000000000005"/>
    <n v="144.99"/>
    <n v="72.495000000000005"/>
    <n v="14.499000000000001"/>
    <m/>
    <n v="5.4654513600000012"/>
    <n v="2.7327256800000006"/>
    <m/>
  </r>
  <r>
    <d v="2017-10-11T00:00:00"/>
    <x v="1"/>
    <s v="IronWolf Pro"/>
    <x v="0"/>
    <x v="0"/>
    <x v="0"/>
    <x v="0"/>
    <n v="4.16"/>
    <m/>
    <n v="0.33333333333333326"/>
    <n v="214"/>
    <x v="1"/>
    <m/>
    <n v="300"/>
    <n v="1200000"/>
    <n v="1000000000000000"/>
    <n v="24"/>
    <n v="8.5"/>
    <n v="5.45"/>
    <n v="0.6"/>
    <n v="189.99"/>
    <n v="47.497500000000002"/>
    <n v="189.99"/>
    <n v="47.497500000000002"/>
    <n v="9.4995000000000012"/>
    <m/>
    <n v="6.6400632000000002"/>
    <n v="1.6600158"/>
    <m/>
  </r>
  <r>
    <d v="2017-10-11T00:00:00"/>
    <x v="1"/>
    <s v="IronWolf Pro"/>
    <x v="0"/>
    <x v="0"/>
    <x v="1"/>
    <x v="0"/>
    <n v="4.16"/>
    <m/>
    <n v="0.33333333333333326"/>
    <n v="214"/>
    <x v="1"/>
    <m/>
    <n v="300"/>
    <n v="1200000"/>
    <n v="1000000000000000"/>
    <n v="24"/>
    <n v="8.1"/>
    <n v="7.5"/>
    <n v="0.6"/>
    <n v="269.99"/>
    <n v="44.998333333333335"/>
    <n v="269.99"/>
    <n v="44.998333333333335"/>
    <n v="8.9996666666666663"/>
    <m/>
    <n v="8.3493864000000002"/>
    <n v="1.3915644"/>
    <m/>
  </r>
  <r>
    <d v="2017-09-03T00:00:00"/>
    <x v="1"/>
    <s v="IronWolf Pro"/>
    <x v="0"/>
    <x v="0"/>
    <x v="2"/>
    <x v="0"/>
    <n v="4.16"/>
    <m/>
    <n v="0.33333333333333326"/>
    <n v="214"/>
    <x v="1"/>
    <m/>
    <n v="300"/>
    <n v="1200000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  <m/>
  </r>
  <r>
    <d v="2017-10-11T00:00:00"/>
    <x v="1"/>
    <s v="IronWolf Pro"/>
    <x v="0"/>
    <x v="0"/>
    <x v="3"/>
    <x v="0"/>
    <n v="4.16"/>
    <m/>
    <n v="0.33333333333333326"/>
    <n v="214"/>
    <x v="1"/>
    <m/>
    <n v="300"/>
    <n v="1200000"/>
    <n v="1000000000000000"/>
    <n v="24"/>
    <n v="7.4"/>
    <n v="5"/>
    <n v="0.8"/>
    <n v="429.99"/>
    <n v="42.999000000000002"/>
    <n v="429.99"/>
    <n v="42.999000000000002"/>
    <n v="8.5998000000000001"/>
    <m/>
    <n v="6.0045456000000001"/>
    <n v="0.60045455999999997"/>
    <m/>
  </r>
  <r>
    <d v="2017-08-13T00:00:00"/>
    <x v="1"/>
    <s v="Terascale"/>
    <x v="1"/>
    <x v="0"/>
    <x v="0"/>
    <x v="4"/>
    <m/>
    <m/>
    <n v="9.259259259259256E-2"/>
    <m/>
    <x v="0"/>
    <m/>
    <m/>
    <m/>
    <m/>
    <n v="24"/>
    <n v="6.49"/>
    <n v="4.59"/>
    <n v="0.77"/>
    <n v="189.99"/>
    <n v="47.497500000000002"/>
    <n v="231.7878"/>
    <n v="57.946950000000001"/>
    <n v="11.58939"/>
    <m/>
    <n v="5.4457284000000001"/>
    <n v="1.3614321"/>
    <m/>
  </r>
  <r>
    <d v="2017-10-11T00:00:00"/>
    <x v="2"/>
    <s v="N300"/>
    <x v="0"/>
    <x v="0"/>
    <x v="0"/>
    <x v="0"/>
    <n v="4.17"/>
    <m/>
    <n v="0.33333333333333326"/>
    <n v="200"/>
    <x v="0"/>
    <m/>
    <n v="180"/>
    <n v="1000000"/>
    <n v="100000000000000"/>
    <m/>
    <n v="9.6"/>
    <n v="5.2"/>
    <m/>
    <n v="129.99"/>
    <n v="32.497500000000002"/>
    <n v="158.58780000000002"/>
    <n v="39.646950000000004"/>
    <n v="7.9293900000000006"/>
    <m/>
    <n v="6.6619776000000011"/>
    <n v="1.6654944000000003"/>
    <m/>
  </r>
  <r>
    <d v="2017-10-11T00:00:00"/>
    <x v="2"/>
    <s v="N300"/>
    <x v="0"/>
    <x v="0"/>
    <x v="1"/>
    <x v="0"/>
    <n v="4.17"/>
    <m/>
    <n v="0.33333333333333326"/>
    <n v="210"/>
    <x v="0"/>
    <m/>
    <n v="180"/>
    <n v="100000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  <m/>
  </r>
  <r>
    <d v="2017-10-11T00:00:00"/>
    <x v="2"/>
    <s v="N300"/>
    <x v="0"/>
    <x v="0"/>
    <x v="2"/>
    <x v="0"/>
    <n v="4.17"/>
    <m/>
    <n v="0.33333333333333326"/>
    <n v="240"/>
    <x v="0"/>
    <m/>
    <n v="180"/>
    <n v="100000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  <m/>
  </r>
  <r>
    <d v="2017-10-11T00:00:00"/>
    <x v="2"/>
    <s v="P300"/>
    <x v="1"/>
    <x v="0"/>
    <x v="4"/>
    <x v="0"/>
    <n v="4.17"/>
    <m/>
    <n v="0.33333333333333326"/>
    <m/>
    <x v="2"/>
    <m/>
    <m/>
    <m/>
    <m/>
    <m/>
    <m/>
    <m/>
    <m/>
    <n v="49.99"/>
    <n v="49.99"/>
    <n v="66.486699999999999"/>
    <n v="66.486699999999999"/>
    <n v="13.29734"/>
    <m/>
    <m/>
    <m/>
    <m/>
  </r>
  <r>
    <d v="2017-10-07T00:00:00"/>
    <x v="2"/>
    <s v="P300"/>
    <x v="1"/>
    <x v="0"/>
    <x v="5"/>
    <x v="0"/>
    <n v="4.17"/>
    <m/>
    <n v="0.33333333333333326"/>
    <m/>
    <x v="2"/>
    <m/>
    <m/>
    <m/>
    <m/>
    <m/>
    <m/>
    <m/>
    <m/>
    <n v="71.989999999999995"/>
    <n v="35.994999999999997"/>
    <n v="95.74669999999999"/>
    <n v="47.873349999999995"/>
    <n v="9.5746699999999993"/>
    <m/>
    <m/>
    <m/>
    <m/>
  </r>
  <r>
    <d v="2017-10-11T00:00:00"/>
    <x v="2"/>
    <s v="P300"/>
    <x v="1"/>
    <x v="0"/>
    <x v="12"/>
    <x v="0"/>
    <n v="4.17"/>
    <m/>
    <n v="0.33333333333333326"/>
    <m/>
    <x v="2"/>
    <m/>
    <m/>
    <m/>
    <m/>
    <m/>
    <m/>
    <m/>
    <m/>
    <n v="89.99"/>
    <n v="29.996666666666666"/>
    <n v="119.6867"/>
    <n v="39.895566666666667"/>
    <n v="7.9791133333333333"/>
    <m/>
    <m/>
    <m/>
    <m/>
  </r>
  <r>
    <d v="2017-10-11T00:00:00"/>
    <x v="2"/>
    <s v="X300"/>
    <x v="1"/>
    <x v="0"/>
    <x v="0"/>
    <x v="0"/>
    <n v="4.17"/>
    <m/>
    <n v="0.33333333333333326"/>
    <m/>
    <x v="2"/>
    <m/>
    <m/>
    <m/>
    <m/>
    <m/>
    <m/>
    <m/>
    <m/>
    <n v="129.99"/>
    <n v="32.497500000000002"/>
    <n v="172.88670000000002"/>
    <n v="43.221675000000005"/>
    <n v="8.6443350000000017"/>
    <m/>
    <m/>
    <m/>
    <m/>
  </r>
  <r>
    <d v="2017-10-11T00:00:00"/>
    <x v="2"/>
    <s v="X300"/>
    <x v="1"/>
    <x v="0"/>
    <x v="6"/>
    <x v="0"/>
    <n v="4.17"/>
    <m/>
    <n v="0.33333333333333326"/>
    <m/>
    <x v="2"/>
    <m/>
    <m/>
    <m/>
    <m/>
    <m/>
    <m/>
    <m/>
    <m/>
    <n v="141.97"/>
    <n v="28.393999999999998"/>
    <n v="188.8201"/>
    <n v="37.764020000000002"/>
    <n v="7.5528040000000001"/>
    <m/>
    <m/>
    <m/>
    <m/>
  </r>
  <r>
    <d v="2017-10-11T00:00:00"/>
    <x v="2"/>
    <s v="X300"/>
    <x v="1"/>
    <x v="0"/>
    <x v="1"/>
    <x v="0"/>
    <n v="4.17"/>
    <m/>
    <n v="0.33333333333333326"/>
    <m/>
    <x v="2"/>
    <m/>
    <m/>
    <m/>
    <m/>
    <m/>
    <m/>
    <m/>
    <m/>
    <n v="189.99"/>
    <n v="31.665000000000003"/>
    <n v="252.68670000000003"/>
    <n v="42.114450000000005"/>
    <n v="8.4228900000000007"/>
    <m/>
    <m/>
    <m/>
    <m/>
  </r>
  <r>
    <d v="2017-10-11T00:00:00"/>
    <x v="2"/>
    <s v="X300"/>
    <x v="1"/>
    <x v="0"/>
    <x v="2"/>
    <x v="0"/>
    <n v="4.17"/>
    <m/>
    <n v="0.33333333333333326"/>
    <m/>
    <x v="2"/>
    <m/>
    <m/>
    <m/>
    <m/>
    <m/>
    <m/>
    <m/>
    <m/>
    <n v="254.99"/>
    <n v="31.873750000000001"/>
    <n v="339.13670000000002"/>
    <n v="42.392087500000002"/>
    <n v="8.4784175000000008"/>
    <m/>
    <m/>
    <m/>
    <m/>
  </r>
  <r>
    <d v="2017-10-10T00:00:00"/>
    <x v="3"/>
    <s v="Ae"/>
    <x v="1"/>
    <x v="0"/>
    <x v="1"/>
    <x v="7"/>
    <m/>
    <m/>
    <n v="6.6666666666666652E-2"/>
    <n v="150"/>
    <x v="0"/>
    <n v="300000"/>
    <m/>
    <n v="500000"/>
    <n v="100000000000000"/>
    <m/>
    <n v="6.5"/>
    <n v="4.8"/>
    <m/>
    <n v="189.99"/>
    <n v="31.665000000000003"/>
    <n v="231.7878"/>
    <n v="38.631300000000003"/>
    <n v="7.7262600000000008"/>
    <m/>
    <n v="5.6320008000000001"/>
    <n v="0.93866680000000002"/>
    <m/>
  </r>
  <r>
    <d v="2017-10-11T00:00:00"/>
    <x v="3"/>
    <s v="Black"/>
    <x v="1"/>
    <x v="0"/>
    <x v="4"/>
    <x v="0"/>
    <m/>
    <m/>
    <n v="0.33333333333333326"/>
    <n v="150"/>
    <x v="1"/>
    <n v="300000"/>
    <m/>
    <m/>
    <n v="100000000000000"/>
    <m/>
    <n v="6.8"/>
    <n v="6.1"/>
    <n v="0.8"/>
    <n v="67.989999999999995"/>
    <n v="67.989999999999995"/>
    <n v="67.989999999999995"/>
    <n v="67.989999999999995"/>
    <n v="13.597999999999999"/>
    <m/>
    <n v="6.8372928000000002"/>
    <n v="6.8372928000000002"/>
    <m/>
  </r>
  <r>
    <d v="2017-10-11T00:00:00"/>
    <x v="3"/>
    <s v="Black"/>
    <x v="1"/>
    <x v="0"/>
    <x v="5"/>
    <x v="0"/>
    <m/>
    <m/>
    <n v="0.33333333333333326"/>
    <n v="164"/>
    <x v="1"/>
    <n v="300000"/>
    <m/>
    <m/>
    <n v="100000000000000"/>
    <m/>
    <n v="9.5"/>
    <n v="8.1"/>
    <n v="1.3"/>
    <n v="119.99"/>
    <n v="59.994999999999997"/>
    <n v="119.99"/>
    <n v="59.994999999999997"/>
    <n v="11.998999999999999"/>
    <m/>
    <n v="9.1821336000000002"/>
    <n v="4.5910668000000001"/>
    <m/>
  </r>
  <r>
    <d v="2017-10-11T00:00:00"/>
    <x v="3"/>
    <s v="Black"/>
    <x v="1"/>
    <x v="0"/>
    <x v="0"/>
    <x v="0"/>
    <m/>
    <m/>
    <n v="0.33333333333333326"/>
    <n v="202"/>
    <x v="1"/>
    <n v="300000"/>
    <m/>
    <m/>
    <n v="100000000000000"/>
    <m/>
    <n v="10.6"/>
    <n v="7.6"/>
    <n v="1.6"/>
    <n v="184.99"/>
    <n v="46.247500000000002"/>
    <n v="184.99"/>
    <n v="46.247500000000002"/>
    <n v="9.2495000000000012"/>
    <m/>
    <n v="8.9849040000000002"/>
    <n v="2.2462260000000001"/>
    <m/>
  </r>
  <r>
    <d v="2017-09-22T00:00:00"/>
    <x v="3"/>
    <s v="Black"/>
    <x v="1"/>
    <x v="0"/>
    <x v="6"/>
    <x v="0"/>
    <m/>
    <m/>
    <n v="0.33333333333333326"/>
    <n v="194"/>
    <x v="1"/>
    <n v="300000"/>
    <m/>
    <m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  <m/>
  </r>
  <r>
    <d v="2017-10-11T00:00:00"/>
    <x v="3"/>
    <s v="Black"/>
    <x v="1"/>
    <x v="0"/>
    <x v="1"/>
    <x v="0"/>
    <m/>
    <m/>
    <n v="0.33333333333333326"/>
    <n v="227"/>
    <x v="1"/>
    <n v="300000"/>
    <m/>
    <m/>
    <n v="100000000000000"/>
    <m/>
    <n v="10.6"/>
    <n v="7.6"/>
    <n v="1.6"/>
    <n v="234.99"/>
    <n v="39.164999999999999"/>
    <n v="234.99"/>
    <n v="39.164999999999999"/>
    <n v="7.8330000000000002"/>
    <m/>
    <n v="8.9849040000000002"/>
    <n v="1.497484"/>
    <m/>
  </r>
  <r>
    <d v="2017-09-22T00:00:00"/>
    <x v="3"/>
    <s v="Black"/>
    <x v="1"/>
    <x v="0"/>
    <x v="2"/>
    <x v="0"/>
    <m/>
    <m/>
    <n v="0.33333333333333326"/>
    <m/>
    <x v="1"/>
    <n v="300000"/>
    <m/>
    <m/>
    <m/>
    <m/>
    <n v="10.6"/>
    <n v="7.6"/>
    <n v="1.6"/>
    <n v="329.99"/>
    <n v="41.248750000000001"/>
    <n v="329.99"/>
    <n v="41.248750000000001"/>
    <n v="8.2497500000000006"/>
    <m/>
    <n v="8.9849040000000002"/>
    <n v="1.123113"/>
    <m/>
  </r>
  <r>
    <d v="2017-10-10T00:00:00"/>
    <x v="3"/>
    <s v="Black"/>
    <x v="1"/>
    <x v="1"/>
    <x v="4"/>
    <x v="0"/>
    <m/>
    <m/>
    <n v="0.33333333333333326"/>
    <m/>
    <x v="1"/>
    <n v="600000"/>
    <m/>
    <m/>
    <n v="100000000000000"/>
    <n v="5.5"/>
    <n v="1.8"/>
    <n v="0.8"/>
    <n v="0.2"/>
    <n v="69.989999999999995"/>
    <n v="69.989999999999995"/>
    <n v="69.989999999999995"/>
    <n v="69.989999999999995"/>
    <n v="13.997999999999999"/>
    <m/>
    <n v="1.09572"/>
    <n v="1.09572"/>
    <m/>
  </r>
  <r>
    <d v="2017-10-11T00:00:00"/>
    <x v="3"/>
    <s v="Blue"/>
    <x v="1"/>
    <x v="0"/>
    <x v="4"/>
    <x v="1"/>
    <m/>
    <m/>
    <n v="0"/>
    <n v="150"/>
    <x v="2"/>
    <n v="300000"/>
    <m/>
    <m/>
    <n v="100000000000000"/>
    <m/>
    <m/>
    <m/>
    <m/>
    <n v="49.99"/>
    <n v="49.99"/>
    <n v="66.486699999999999"/>
    <n v="66.486699999999999"/>
    <n v="13.29734"/>
    <m/>
    <m/>
    <m/>
    <m/>
  </r>
  <r>
    <d v="2017-10-11T00:00:00"/>
    <x v="3"/>
    <s v="Blue"/>
    <x v="1"/>
    <x v="0"/>
    <x v="5"/>
    <x v="1"/>
    <m/>
    <m/>
    <n v="0"/>
    <n v="147"/>
    <x v="2"/>
    <n v="300000"/>
    <m/>
    <m/>
    <n v="100000000000000"/>
    <n v="20.759999999999998"/>
    <n v="4.0999999999999996"/>
    <n v="3"/>
    <n v="0.4"/>
    <n v="64.209999999999994"/>
    <n v="32.104999999999997"/>
    <n v="85.399299999999997"/>
    <n v="42.699649999999998"/>
    <n v="8.53993"/>
    <m/>
    <n v="3.5282184000000001"/>
    <n v="1.7641092"/>
    <m/>
  </r>
  <r>
    <d v="2017-10-11T00:00:00"/>
    <x v="3"/>
    <s v="Blue"/>
    <x v="1"/>
    <x v="0"/>
    <x v="12"/>
    <x v="1"/>
    <m/>
    <m/>
    <n v="0"/>
    <n v="147"/>
    <x v="2"/>
    <n v="300000"/>
    <m/>
    <m/>
    <n v="100000000000000"/>
    <n v="20.759999999999998"/>
    <n v="4.0999999999999996"/>
    <n v="3"/>
    <n v="0.4"/>
    <n v="84.99"/>
    <n v="28.33"/>
    <n v="113.0367"/>
    <n v="37.678899999999999"/>
    <n v="7.5357799999999999"/>
    <m/>
    <n v="3.5282184000000001"/>
    <n v="1.1760728"/>
    <m/>
  </r>
  <r>
    <d v="2017-10-11T00:00:00"/>
    <x v="3"/>
    <s v="Blue"/>
    <x v="1"/>
    <x v="0"/>
    <x v="0"/>
    <x v="1"/>
    <m/>
    <m/>
    <n v="0"/>
    <n v="150"/>
    <x v="2"/>
    <n v="300000"/>
    <m/>
    <m/>
    <n v="100000000000000"/>
    <n v="21"/>
    <n v="5.3"/>
    <n v="3.4"/>
    <n v="0.4"/>
    <n v="117.99"/>
    <n v="29.497499999999999"/>
    <n v="156.92669999999998"/>
    <n v="39.231674999999996"/>
    <n v="7.8463349999999989"/>
    <m/>
    <n v="4.1418216000000001"/>
    <n v="1.0354554"/>
    <m/>
  </r>
  <r>
    <d v="2017-08-13T00:00:00"/>
    <x v="3"/>
    <s v="Blue"/>
    <x v="1"/>
    <x v="0"/>
    <x v="6"/>
    <x v="1"/>
    <m/>
    <m/>
    <n v="0"/>
    <n v="170"/>
    <x v="2"/>
    <n v="300000"/>
    <m/>
    <m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  <m/>
  </r>
  <r>
    <d v="2017-10-11T00:00:00"/>
    <x v="3"/>
    <s v="Blue"/>
    <x v="1"/>
    <x v="0"/>
    <x v="1"/>
    <x v="1"/>
    <m/>
    <m/>
    <n v="0"/>
    <n v="175"/>
    <x v="2"/>
    <n v="300000"/>
    <m/>
    <m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  <m/>
  </r>
  <r>
    <d v="2017-08-13T00:00:00"/>
    <x v="3"/>
    <s v="Blue"/>
    <x v="1"/>
    <x v="1"/>
    <x v="4"/>
    <x v="1"/>
    <m/>
    <m/>
    <n v="0"/>
    <m/>
    <x v="2"/>
    <n v="600000"/>
    <m/>
    <m/>
    <n v="100000000000000"/>
    <n v="5"/>
    <n v="1.5"/>
    <n v="0.5"/>
    <n v="0.1"/>
    <n v="55.99"/>
    <n v="55.99"/>
    <n v="74.466700000000003"/>
    <n v="74.466700000000003"/>
    <n v="14.89334"/>
    <m/>
    <n v="0.76700400000000002"/>
    <n v="0.76700400000000002"/>
    <m/>
  </r>
  <r>
    <d v="2017-08-13T00:00:00"/>
    <x v="3"/>
    <s v="Blue"/>
    <x v="1"/>
    <x v="1"/>
    <x v="5"/>
    <x v="1"/>
    <m/>
    <m/>
    <n v="0"/>
    <m/>
    <x v="2"/>
    <n v="600000"/>
    <m/>
    <m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  <m/>
  </r>
  <r>
    <d v="2017-10-11T00:00:00"/>
    <x v="3"/>
    <s v="Gold Enterprise"/>
    <x v="0"/>
    <x v="0"/>
    <x v="4"/>
    <x v="0"/>
    <m/>
    <m/>
    <n v="0.33333333333333326"/>
    <n v="184"/>
    <x v="1"/>
    <n v="600000"/>
    <n v="550"/>
    <n v="2000000"/>
    <n v="1000000000000000"/>
    <m/>
    <n v="8.1"/>
    <n v="5.9"/>
    <m/>
    <n v="84.99"/>
    <n v="84.99"/>
    <n v="84.99"/>
    <n v="84.99"/>
    <n v="16.997999999999998"/>
    <m/>
    <n v="6.9468648000000002"/>
    <n v="6.9468648000000002"/>
    <m/>
  </r>
  <r>
    <d v="2017-10-11T00:00:00"/>
    <x v="3"/>
    <s v="Gold Enterprise"/>
    <x v="0"/>
    <x v="0"/>
    <x v="5"/>
    <x v="0"/>
    <m/>
    <m/>
    <n v="0.33333333333333326"/>
    <n v="200"/>
    <x v="1"/>
    <n v="600000"/>
    <n v="550"/>
    <n v="2000000"/>
    <n v="1000000000000000"/>
    <m/>
    <n v="8.1"/>
    <n v="5.9"/>
    <m/>
    <n v="123.99"/>
    <n v="61.994999999999997"/>
    <n v="123.99"/>
    <n v="61.994999999999997"/>
    <n v="12.398999999999999"/>
    <m/>
    <n v="6.9468648000000002"/>
    <n v="3.4734324000000001"/>
    <m/>
  </r>
  <r>
    <d v="2017-10-11T00:00:00"/>
    <x v="3"/>
    <s v="Gold Enterprise"/>
    <x v="0"/>
    <x v="0"/>
    <x v="0"/>
    <x v="0"/>
    <m/>
    <m/>
    <n v="0.33333333333333326"/>
    <n v="201"/>
    <x v="1"/>
    <n v="600000"/>
    <n v="550"/>
    <n v="2000000"/>
    <n v="1000000000000000"/>
    <m/>
    <n v="9"/>
    <n v="7"/>
    <m/>
    <n v="164"/>
    <n v="41"/>
    <n v="164"/>
    <n v="41"/>
    <n v="8.1999999999999993"/>
    <m/>
    <n v="8.1083280000000002"/>
    <n v="2.0270820000000001"/>
    <m/>
  </r>
  <r>
    <d v="2017-10-11T00:00:00"/>
    <x v="3"/>
    <s v="Gold Enterprise"/>
    <x v="0"/>
    <x v="0"/>
    <x v="1"/>
    <x v="0"/>
    <m/>
    <m/>
    <n v="0.33333333333333326"/>
    <n v="226"/>
    <x v="1"/>
    <n v="600000"/>
    <n v="550"/>
    <n v="2000000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  <s v="X GiB NAND Cache"/>
  </r>
  <r>
    <d v="2017-10-11T00:00:00"/>
    <x v="3"/>
    <s v="Gold Enterprise"/>
    <x v="0"/>
    <x v="0"/>
    <x v="2"/>
    <x v="0"/>
    <m/>
    <m/>
    <n v="0.33333333333333326"/>
    <n v="205"/>
    <x v="1"/>
    <n v="600000"/>
    <n v="550"/>
    <n v="2500000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  <s v="Helium filled"/>
  </r>
  <r>
    <d v="2017-10-11T00:00:00"/>
    <x v="3"/>
    <s v="Gold Enterprise"/>
    <x v="0"/>
    <x v="0"/>
    <x v="3"/>
    <x v="0"/>
    <m/>
    <m/>
    <n v="0.33333333333333326"/>
    <n v="249"/>
    <x v="1"/>
    <n v="600000"/>
    <n v="550"/>
    <n v="2500000"/>
    <n v="1000000000000000"/>
    <m/>
    <n v="7.1"/>
    <n v="5"/>
    <m/>
    <n v="414.99"/>
    <n v="41.499000000000002"/>
    <n v="414.99"/>
    <n v="41.499000000000002"/>
    <n v="8.2998000000000012"/>
    <m/>
    <n v="5.9388024000000001"/>
    <n v="0.59388024000000006"/>
    <s v="Helium filled"/>
  </r>
  <r>
    <d v="2017-10-11T00:00:00"/>
    <x v="3"/>
    <s v="Gold Enterprise"/>
    <x v="0"/>
    <x v="0"/>
    <x v="10"/>
    <x v="0"/>
    <m/>
    <m/>
    <n v="0.33333333333333326"/>
    <n v="255"/>
    <x v="1"/>
    <n v="600000"/>
    <n v="550"/>
    <n v="2500000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  <s v="Helium filled"/>
  </r>
  <r>
    <d v="2017-10-11T00:00:00"/>
    <x v="3"/>
    <s v="Red NAS"/>
    <x v="0"/>
    <x v="0"/>
    <x v="4"/>
    <x v="1"/>
    <m/>
    <m/>
    <n v="0"/>
    <n v="150"/>
    <x v="0"/>
    <n v="600000"/>
    <n v="180"/>
    <n v="1000000"/>
    <n v="100000000000000"/>
    <n v="14.399999999999999"/>
    <n v="3.3"/>
    <n v="2.2999999999999998"/>
    <n v="0.4"/>
    <n v="62.99"/>
    <n v="62.99"/>
    <n v="76.847800000000007"/>
    <n v="76.847800000000007"/>
    <n v="15.369560000000002"/>
    <m/>
    <n v="2.7393000000000001"/>
    <n v="2.7393000000000001"/>
    <m/>
  </r>
  <r>
    <d v="2017-10-11T00:00:00"/>
    <x v="3"/>
    <s v="Red NAS"/>
    <x v="0"/>
    <x v="0"/>
    <x v="5"/>
    <x v="1"/>
    <m/>
    <m/>
    <n v="0"/>
    <n v="147"/>
    <x v="0"/>
    <n v="600000"/>
    <n v="180"/>
    <n v="100000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  <m/>
  </r>
  <r>
    <d v="2017-10-11T00:00:00"/>
    <x v="3"/>
    <s v="Red NAS"/>
    <x v="0"/>
    <x v="0"/>
    <x v="12"/>
    <x v="1"/>
    <m/>
    <n v="8.9"/>
    <n v="0"/>
    <n v="147"/>
    <x v="0"/>
    <n v="600000"/>
    <n v="180"/>
    <n v="100000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  <m/>
  </r>
  <r>
    <d v="2017-10-03T00:00:00"/>
    <x v="3"/>
    <s v="Red NAS"/>
    <x v="0"/>
    <x v="0"/>
    <x v="0"/>
    <x v="1"/>
    <m/>
    <m/>
    <n v="0"/>
    <n v="150"/>
    <x v="0"/>
    <n v="600000"/>
    <n v="180"/>
    <n v="1000000"/>
    <n v="100000000000000"/>
    <n v="21"/>
    <n v="4.5"/>
    <n v="3.3"/>
    <n v="0.4"/>
    <n v="129.99"/>
    <n v="32.497500000000002"/>
    <n v="158.58780000000002"/>
    <n v="39.646950000000004"/>
    <n v="7.9293900000000006"/>
    <m/>
    <n v="3.8788488000000001"/>
    <n v="0.96971220000000002"/>
    <m/>
  </r>
  <r>
    <d v="2017-09-30T00:00:00"/>
    <x v="3"/>
    <s v="Red NAS"/>
    <x v="0"/>
    <x v="0"/>
    <x v="6"/>
    <x v="1"/>
    <m/>
    <m/>
    <n v="0"/>
    <m/>
    <x v="0"/>
    <n v="600000"/>
    <n v="180"/>
    <n v="100000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  <m/>
  </r>
  <r>
    <d v="2017-10-11T00:00:00"/>
    <x v="3"/>
    <s v="Red NAS"/>
    <x v="0"/>
    <x v="0"/>
    <x v="1"/>
    <x v="1"/>
    <m/>
    <m/>
    <n v="0"/>
    <n v="175"/>
    <x v="0"/>
    <n v="600000"/>
    <n v="180"/>
    <n v="1000000"/>
    <n v="100000000000000"/>
    <n v="21"/>
    <n v="5.3"/>
    <n v="3.4"/>
    <n v="0.4"/>
    <n v="217.99"/>
    <n v="36.331666666666671"/>
    <n v="265.94780000000003"/>
    <n v="44.324633333333338"/>
    <n v="8.8649266666666673"/>
    <m/>
    <n v="4.1418216000000001"/>
    <n v="0.69030360000000002"/>
    <m/>
  </r>
  <r>
    <d v="2017-09-30T00:00:00"/>
    <x v="3"/>
    <s v="Red NAS"/>
    <x v="0"/>
    <x v="0"/>
    <x v="2"/>
    <x v="1"/>
    <m/>
    <m/>
    <n v="0"/>
    <n v="178"/>
    <x v="0"/>
    <n v="600000"/>
    <n v="180"/>
    <n v="1000000"/>
    <n v="100000000000000"/>
    <n v="21.48"/>
    <n v="6.4"/>
    <n v="5.2"/>
    <n v="0.7"/>
    <n v="259.99"/>
    <n v="32.498750000000001"/>
    <n v="317.18780000000004"/>
    <n v="39.648475000000005"/>
    <n v="7.9296950000000006"/>
    <m/>
    <n v="5.960716800000001"/>
    <n v="0.74508960000000013"/>
    <s v="Helium filled"/>
  </r>
  <r>
    <d v="2017-10-11T00:00:00"/>
    <x v="3"/>
    <s v="Red NAS"/>
    <x v="0"/>
    <x v="0"/>
    <x v="3"/>
    <x v="1"/>
    <m/>
    <m/>
    <n v="0"/>
    <n v="210"/>
    <x v="0"/>
    <n v="600000"/>
    <n v="180"/>
    <n v="1000000"/>
    <n v="100000000000000"/>
    <n v="21.48"/>
    <n v="5.7"/>
    <n v="2.8"/>
    <n v="0.5"/>
    <n v="379.99"/>
    <n v="37.999000000000002"/>
    <n v="463.58780000000002"/>
    <n v="46.358780000000003"/>
    <n v="9.2717559999999999"/>
    <m/>
    <n v="3.7035336000000001"/>
    <n v="0.37035336000000002"/>
    <s v="Helium filled"/>
  </r>
  <r>
    <d v="2017-08-14T00:00:00"/>
    <x v="3"/>
    <s v="Red NAS"/>
    <x v="0"/>
    <x v="1"/>
    <x v="15"/>
    <x v="1"/>
    <m/>
    <m/>
    <n v="0"/>
    <n v="144"/>
    <x v="0"/>
    <n v="600000"/>
    <n v="180"/>
    <n v="100000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  <m/>
  </r>
  <r>
    <d v="2017-08-14T00:00:00"/>
    <x v="3"/>
    <s v="Red NAS"/>
    <x v="0"/>
    <x v="1"/>
    <x v="4"/>
    <x v="1"/>
    <m/>
    <m/>
    <n v="0"/>
    <n v="144"/>
    <x v="0"/>
    <n v="600000"/>
    <n v="180"/>
    <n v="100000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  <m/>
  </r>
  <r>
    <d v="2017-10-11T00:00:00"/>
    <x v="3"/>
    <s v="RED NAS Pro"/>
    <x v="0"/>
    <x v="0"/>
    <x v="5"/>
    <x v="0"/>
    <m/>
    <m/>
    <n v="0.33333333333333326"/>
    <n v="164"/>
    <x v="1"/>
    <n v="600000"/>
    <n v="300"/>
    <n v="100000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  <m/>
  </r>
  <r>
    <d v="2017-09-23T00:00:00"/>
    <x v="3"/>
    <s v="RED NAS Pro"/>
    <x v="0"/>
    <x v="0"/>
    <x v="12"/>
    <x v="0"/>
    <m/>
    <m/>
    <n v="0.33333333333333326"/>
    <m/>
    <x v="1"/>
    <n v="600000"/>
    <n v="300"/>
    <n v="1000000"/>
    <n v="1000000000000000"/>
    <n v="22.799999999999997"/>
    <n v="8.6"/>
    <n v="6.5"/>
    <n v="0.6"/>
    <n v="209.99"/>
    <n v="69.99666666666667"/>
    <n v="209.99"/>
    <n v="69.99666666666667"/>
    <n v="13.999333333333334"/>
    <m/>
    <n v="7.5823824000000002"/>
    <n v="2.5274608000000001"/>
    <m/>
  </r>
  <r>
    <d v="2017-10-11T00:00:00"/>
    <x v="3"/>
    <s v="RED NAS Pro"/>
    <x v="0"/>
    <x v="0"/>
    <x v="0"/>
    <x v="0"/>
    <m/>
    <m/>
    <n v="0.33333333333333326"/>
    <n v="202"/>
    <x v="1"/>
    <n v="600000"/>
    <n v="300"/>
    <n v="1000000"/>
    <n v="1000000000000000"/>
    <n v="21.48"/>
    <n v="9.1"/>
    <n v="7.1"/>
    <n v="1"/>
    <n v="174.99"/>
    <n v="43.747500000000002"/>
    <n v="174.99"/>
    <n v="43.747500000000002"/>
    <n v="8.7495000000000012"/>
    <m/>
    <n v="8.2179000000000002"/>
    <n v="2.0544750000000001"/>
    <m/>
  </r>
  <r>
    <d v="2017-04-17T00:00:00"/>
    <x v="3"/>
    <s v="RED NAS Pro"/>
    <x v="0"/>
    <x v="0"/>
    <x v="6"/>
    <x v="0"/>
    <m/>
    <m/>
    <n v="0.33333333333333326"/>
    <m/>
    <x v="1"/>
    <n v="600000"/>
    <n v="300"/>
    <n v="1000000"/>
    <n v="1000000000000000"/>
    <n v="22.799999999999997"/>
    <n v="10.6"/>
    <n v="7.4"/>
    <n v="1.6"/>
    <n v="259.99"/>
    <n v="51.998000000000005"/>
    <n v="259.99"/>
    <n v="51.998000000000005"/>
    <n v="10.399600000000001"/>
    <m/>
    <n v="8.8095888000000002"/>
    <n v="1.76191776"/>
    <m/>
  </r>
  <r>
    <d v="2017-10-11T00:00:00"/>
    <x v="3"/>
    <s v="RED NAS Pro"/>
    <x v="0"/>
    <x v="0"/>
    <x v="1"/>
    <x v="0"/>
    <m/>
    <m/>
    <n v="0.33333333333333326"/>
    <n v="227"/>
    <x v="1"/>
    <n v="600000"/>
    <n v="300"/>
    <n v="1000000"/>
    <n v="1000000000000000"/>
    <n v="21.48"/>
    <n v="9.1"/>
    <n v="7.1"/>
    <n v="1"/>
    <n v="235.99"/>
    <n v="39.331666666666671"/>
    <n v="235.99"/>
    <n v="39.331666666666671"/>
    <n v="7.8663333333333343"/>
    <m/>
    <n v="8.2179000000000002"/>
    <n v="1.36965"/>
    <m/>
  </r>
  <r>
    <d v="2017-10-11T00:00:00"/>
    <x v="3"/>
    <s v="RED NAS Pro"/>
    <x v="0"/>
    <x v="0"/>
    <x v="2"/>
    <x v="0"/>
    <m/>
    <m/>
    <n v="0.33333333333333326"/>
    <n v="205"/>
    <x v="1"/>
    <n v="600000"/>
    <n v="300"/>
    <n v="1000000"/>
    <n v="1000000000000000"/>
    <n v="21.48"/>
    <n v="8.3000000000000007"/>
    <n v="5.2"/>
    <n v="1"/>
    <n v="328"/>
    <n v="41"/>
    <n v="328"/>
    <n v="41"/>
    <n v="8.1999999999999993"/>
    <m/>
    <n v="6.377090400000001"/>
    <n v="0.79713630000000013"/>
    <s v="Helium filled"/>
  </r>
  <r>
    <d v="2017-10-11T00:00:00"/>
    <x v="3"/>
    <s v="RED NAS Pro"/>
    <x v="0"/>
    <x v="0"/>
    <x v="3"/>
    <x v="0"/>
    <m/>
    <m/>
    <n v="0.33333333333333326"/>
    <n v="240"/>
    <x v="1"/>
    <n v="600000"/>
    <n v="300"/>
    <n v="1000000"/>
    <n v="1000000000000000"/>
    <n v="21.6"/>
    <n v="5.7"/>
    <n v="2.8"/>
    <n v="0.5"/>
    <n v="440.77"/>
    <n v="44.076999999999998"/>
    <n v="440.77"/>
    <n v="44.076999999999998"/>
    <n v="8.8154000000000003"/>
    <m/>
    <n v="3.7035336000000001"/>
    <n v="0.37035336000000002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3">
  <r>
    <d v="2017-10-11T00:00:00"/>
    <s v="HGST"/>
    <s v="Deskstar NAS"/>
    <x v="0"/>
    <x v="0"/>
    <x v="0"/>
    <n v="7200"/>
    <m/>
    <n v="11.99"/>
    <n v="0.33333333333333326"/>
    <n v="202"/>
    <x v="0"/>
    <n v="600000"/>
    <m/>
    <n v="1000000"/>
    <n v="100000000000000"/>
    <n v="30"/>
    <m/>
    <n v="7.3"/>
    <m/>
    <n v="133.99"/>
    <n v="33.497500000000002"/>
    <n v="163.46780000000001"/>
    <n v="40.866950000000003"/>
    <n v="8.1733900000000013"/>
    <m/>
    <m/>
    <m/>
  </r>
  <r>
    <d v="2017-10-11T00:00:00"/>
    <s v="HGST"/>
    <s v="Deskstar NAS"/>
    <x v="0"/>
    <x v="0"/>
    <x v="1"/>
    <n v="7200"/>
    <m/>
    <n v="11.99"/>
    <n v="0.33333333333333326"/>
    <n v="227"/>
    <x v="0"/>
    <n v="600000"/>
    <m/>
    <n v="1000000"/>
    <n v="100000000000000"/>
    <n v="30"/>
    <m/>
    <n v="7.3"/>
    <m/>
    <n v="194.99"/>
    <n v="32.498333333333335"/>
    <n v="237.88780000000003"/>
    <n v="39.647966666666669"/>
    <n v="7.9295933333333339"/>
    <m/>
    <m/>
    <m/>
  </r>
  <r>
    <d v="2017-10-11T00:00:00"/>
    <s v="HGST"/>
    <s v="Deskstar NAS"/>
    <x v="0"/>
    <x v="0"/>
    <x v="2"/>
    <n v="7200"/>
    <m/>
    <n v="11.99"/>
    <n v="0.33333333333333326"/>
    <n v="205"/>
    <x v="0"/>
    <n v="600000"/>
    <m/>
    <n v="1000000"/>
    <n v="100000000000000"/>
    <n v="30"/>
    <m/>
    <n v="5.0999999999999996"/>
    <m/>
    <n v="279.99"/>
    <n v="34.998750000000001"/>
    <n v="341.58780000000002"/>
    <n v="42.698475000000002"/>
    <n v="8.539695"/>
    <m/>
    <m/>
    <m/>
  </r>
  <r>
    <d v="2017-10-11T00:00:00"/>
    <s v="HGST"/>
    <s v="Deskstar NAS"/>
    <x v="0"/>
    <x v="0"/>
    <x v="3"/>
    <n v="7200"/>
    <m/>
    <n v="11.99"/>
    <n v="0.33333333333333326"/>
    <n v="240"/>
    <x v="0"/>
    <n v="600000"/>
    <m/>
    <n v="1000000"/>
    <n v="100000000000000"/>
    <n v="30"/>
    <m/>
    <n v="5.0999999999999996"/>
    <m/>
    <n v="349.99"/>
    <n v="34.999000000000002"/>
    <n v="426.98779999999999"/>
    <n v="42.698779999999999"/>
    <n v="8.5397560000000006"/>
    <m/>
    <m/>
    <m/>
  </r>
  <r>
    <d v="2017-09-27T00:00:00"/>
    <s v="HGST"/>
    <s v="Travelstar 5K100"/>
    <x v="1"/>
    <x v="1"/>
    <x v="4"/>
    <n v="5400"/>
    <n v="5.5"/>
    <n v="12"/>
    <n v="0"/>
    <n v="99"/>
    <x v="0"/>
    <n v="600000"/>
    <m/>
    <m/>
    <m/>
    <n v="4.5"/>
    <n v="1.6"/>
    <n v="0.8"/>
    <n v="0.2"/>
    <n v="49.99"/>
    <n v="49.99"/>
    <n v="60.9878"/>
    <n v="60.9878"/>
    <n v="12.197559999999999"/>
    <m/>
    <m/>
    <m/>
  </r>
  <r>
    <d v="2017-09-27T00:00:00"/>
    <s v="HGST"/>
    <s v="Travelstar 7K100"/>
    <x v="1"/>
    <x v="1"/>
    <x v="4"/>
    <n v="7200"/>
    <n v="4.2"/>
    <n v="12"/>
    <n v="0.33333333333333326"/>
    <n v="128"/>
    <x v="0"/>
    <n v="600000"/>
    <m/>
    <m/>
    <m/>
    <n v="5.5"/>
    <n v="1.8"/>
    <n v="1"/>
    <n v="0.2"/>
    <n v="54.99"/>
    <n v="54.99"/>
    <n v="67.087800000000001"/>
    <n v="67.087800000000001"/>
    <n v="13.41756"/>
    <m/>
    <m/>
    <m/>
  </r>
  <r>
    <d v="2017-09-06T00:00:00"/>
    <s v="HGST"/>
    <s v="Ultrastar 7K6"/>
    <x v="0"/>
    <x v="0"/>
    <x v="5"/>
    <n v="7200"/>
    <n v="4.16"/>
    <n v="8"/>
    <n v="0.33333333333333326"/>
    <n v="192"/>
    <x v="1"/>
    <n v="600000"/>
    <m/>
    <n v="2000000"/>
    <n v="1000000000000000"/>
    <m/>
    <n v="9.1"/>
    <n v="7.1"/>
    <m/>
    <n v="149.34"/>
    <n v="74.67"/>
    <n v="149.34"/>
    <n v="74.67"/>
    <n v="14.934000000000001"/>
    <m/>
    <n v="8.2179000000000002"/>
    <n v="4.1089500000000001"/>
  </r>
  <r>
    <d v="2017-09-06T00:00:00"/>
    <s v="HGST"/>
    <s v="Ultrastar 7K6"/>
    <x v="0"/>
    <x v="0"/>
    <x v="0"/>
    <n v="7200"/>
    <n v="4.16"/>
    <n v="8"/>
    <n v="0.33333333333333326"/>
    <n v="192"/>
    <x v="1"/>
    <n v="600000"/>
    <m/>
    <n v="2000000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</r>
  <r>
    <d v="2017-09-06T00:00:00"/>
    <s v="HGST"/>
    <s v="Ultrastar 7K6"/>
    <x v="0"/>
    <x v="0"/>
    <x v="6"/>
    <n v="7200"/>
    <n v="4.16"/>
    <n v="8"/>
    <n v="0.33333333333333326"/>
    <n v="192"/>
    <x v="1"/>
    <n v="600000"/>
    <m/>
    <n v="2000000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</r>
  <r>
    <d v="2017-09-06T00:00:00"/>
    <s v="HGST"/>
    <s v="Ultrastar 7K6"/>
    <x v="0"/>
    <x v="0"/>
    <x v="1"/>
    <n v="7200"/>
    <n v="4.16"/>
    <n v="8"/>
    <n v="0.33333333333333326"/>
    <n v="216"/>
    <x v="1"/>
    <n v="600000"/>
    <m/>
    <n v="2000000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</r>
  <r>
    <d v="2017-04-21T00:00:00"/>
    <s v="HGST"/>
    <s v="Ultrastar Archive Ha10"/>
    <x v="1"/>
    <x v="0"/>
    <x v="2"/>
    <n v="7200"/>
    <m/>
    <m/>
    <n v="0.33333333333333326"/>
    <m/>
    <x v="1"/>
    <m/>
    <m/>
    <m/>
    <m/>
    <m/>
    <n v="7.6"/>
    <n v="5.0999999999999996"/>
    <m/>
    <n v="373"/>
    <n v="46.625"/>
    <n v="373"/>
    <n v="46.625"/>
    <n v="9.3249999999999993"/>
    <m/>
    <n v="6.1360319999999993"/>
    <n v="0.76700399999999991"/>
  </r>
  <r>
    <d v="2017-10-13T00:00:00"/>
    <s v="HGST"/>
    <s v="Ultrastar C10K1200"/>
    <x v="0"/>
    <x v="1"/>
    <x v="7"/>
    <n v="10520"/>
    <n v="2.85"/>
    <n v="4.4000000000000004"/>
    <n v="0.94814814814814818"/>
    <n v="224"/>
    <x v="1"/>
    <m/>
    <m/>
    <n v="2000000"/>
    <n v="1E+16"/>
    <m/>
    <n v="6.5"/>
    <n v="4.7"/>
    <m/>
    <n v="180"/>
    <n v="150"/>
    <n v="180"/>
    <n v="150"/>
    <n v="30"/>
    <m/>
    <n v="5.5443432000000001"/>
    <n v="4.6202860000000001"/>
  </r>
  <r>
    <d v="2017-10-13T00:00:00"/>
    <s v="HGST"/>
    <s v="Ultrastar C10K1800"/>
    <x v="0"/>
    <x v="1"/>
    <x v="8"/>
    <n v="10520"/>
    <n v="2.85"/>
    <n v="4.4000000000000004"/>
    <n v="0.94814814814814818"/>
    <n v="224"/>
    <x v="1"/>
    <m/>
    <m/>
    <n v="2000000"/>
    <n v="1E+16"/>
    <m/>
    <n v="6.6"/>
    <n v="4.7"/>
    <m/>
    <n v="315"/>
    <n v="175"/>
    <n v="315"/>
    <n v="175"/>
    <n v="35"/>
    <m/>
    <n v="5.5662576000000001"/>
    <n v="3.0923653333333334"/>
  </r>
  <r>
    <d v="2017-10-13T00:00:00"/>
    <s v="HGST"/>
    <s v="Ultrastar C15K600"/>
    <x v="0"/>
    <x v="1"/>
    <x v="9"/>
    <n v="15030"/>
    <n v="1.99"/>
    <n v="3.1"/>
    <n v="1.7833333333333332"/>
    <n v="250"/>
    <x v="1"/>
    <m/>
    <m/>
    <n v="2000000"/>
    <n v="1E+17"/>
    <m/>
    <n v="7.5"/>
    <n v="5.8"/>
    <m/>
    <n v="259.99"/>
    <n v="433.31666666666672"/>
    <n v="259.99"/>
    <n v="433.31666666666672"/>
    <n v="86.663333333333341"/>
    <m/>
    <n v="6.7277208000000002"/>
    <n v="11.212868"/>
  </r>
  <r>
    <d v="2017-10-11T00:00:00"/>
    <s v="HGST"/>
    <s v="Ultrastar He6"/>
    <x v="0"/>
    <x v="0"/>
    <x v="1"/>
    <n v="7200"/>
    <n v="4.16"/>
    <n v="9"/>
    <n v="0.33333333333333326"/>
    <n v="195"/>
    <x v="1"/>
    <n v="600000"/>
    <n v="550"/>
    <n v="2500000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</r>
  <r>
    <d v="2017-10-11T00:00:00"/>
    <s v="HGST"/>
    <s v="Ultrastar He8"/>
    <x v="0"/>
    <x v="0"/>
    <x v="2"/>
    <n v="7200"/>
    <n v="4.16"/>
    <n v="8.5"/>
    <n v="0.33333333333333326"/>
    <n v="237"/>
    <x v="1"/>
    <n v="600000"/>
    <n v="550"/>
    <n v="2500000"/>
    <n v="1000000000000000"/>
    <m/>
    <n v="7.4"/>
    <n v="5.0999999999999996"/>
    <m/>
    <n v="285"/>
    <n v="35.625"/>
    <n v="285"/>
    <n v="35.625"/>
    <n v="7.125"/>
    <m/>
    <n v="6.0922031999999993"/>
    <n v="0.76152539999999991"/>
  </r>
  <r>
    <d v="2017-09-27T00:00:00"/>
    <s v="HGST"/>
    <s v="Ultrastar He10"/>
    <x v="0"/>
    <x v="0"/>
    <x v="3"/>
    <n v="7200"/>
    <n v="4.16"/>
    <n v="8"/>
    <n v="0.33333333333333326"/>
    <n v="237"/>
    <x v="1"/>
    <n v="600000"/>
    <n v="550"/>
    <n v="2500000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</r>
  <r>
    <d v="2017-09-27T00:00:00"/>
    <s v="HGST"/>
    <s v="Ultrastar He12"/>
    <x v="0"/>
    <x v="0"/>
    <x v="10"/>
    <n v="7200"/>
    <n v="4.16"/>
    <n v="8.6"/>
    <n v="0.33333333333333326"/>
    <n v="243"/>
    <x v="1"/>
    <n v="600000"/>
    <n v="550"/>
    <n v="2500000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</r>
  <r>
    <d v="2017-10-13T00:00:00"/>
    <s v="HGST"/>
    <s v="Ultrastar Hs14"/>
    <x v="1"/>
    <x v="0"/>
    <x v="11"/>
    <n v="7200"/>
    <n v="4.16"/>
    <n v="12"/>
    <n v="0.33333333333333326"/>
    <n v="233"/>
    <x v="1"/>
    <n v="600000"/>
    <n v="550"/>
    <n v="2500000"/>
    <n v="1000000000000000"/>
    <m/>
    <n v="6.4"/>
    <n v="5.2"/>
    <m/>
    <m/>
    <n v="0"/>
    <n v="0"/>
    <n v="0"/>
    <n v="0"/>
    <m/>
    <n v="5.960716800000001"/>
    <n v="0.4257654857142858"/>
  </r>
  <r>
    <d v="2017-08-14T00:00:00"/>
    <s v="Seagate"/>
    <s v="Archive"/>
    <x v="1"/>
    <x v="0"/>
    <x v="6"/>
    <n v="5900"/>
    <m/>
    <m/>
    <n v="9.259259259259256E-2"/>
    <n v="146"/>
    <x v="0"/>
    <n v="300000"/>
    <n v="180"/>
    <n v="800000"/>
    <n v="100000000000000"/>
    <n v="24"/>
    <n v="5.5"/>
    <n v="3.5"/>
    <n v="0.74"/>
    <n v="192.01"/>
    <n v="38.402000000000001"/>
    <n v="234.25219999999999"/>
    <n v="46.850439999999999"/>
    <n v="9.3700879999999991"/>
    <m/>
    <n v="4.2733080000000001"/>
    <n v="0.85466160000000002"/>
  </r>
  <r>
    <d v="2017-08-14T00:00:00"/>
    <s v="Seagate"/>
    <s v="Archive"/>
    <x v="1"/>
    <x v="0"/>
    <x v="1"/>
    <n v="5900"/>
    <m/>
    <m/>
    <n v="9.259259259259256E-2"/>
    <n v="150"/>
    <x v="0"/>
    <n v="300000"/>
    <n v="180"/>
    <n v="800000"/>
    <n v="100000000000000"/>
    <n v="24"/>
    <n v="7.5"/>
    <n v="5"/>
    <n v="0.99"/>
    <n v="203.47"/>
    <n v="33.911666666666669"/>
    <n v="248.23339999999999"/>
    <n v="41.372233333333334"/>
    <n v="8.2744466666666661"/>
    <m/>
    <n v="6.0264600000000002"/>
    <n v="1.00441"/>
  </r>
  <r>
    <d v="2017-10-11T00:00:00"/>
    <s v="Seagate"/>
    <s v="Archive"/>
    <x v="1"/>
    <x v="0"/>
    <x v="2"/>
    <n v="5900"/>
    <m/>
    <m/>
    <n v="9.259259259259256E-2"/>
    <n v="150"/>
    <x v="0"/>
    <n v="300000"/>
    <n v="180"/>
    <n v="800000"/>
    <n v="100000000000000"/>
    <n v="24"/>
    <n v="7.5"/>
    <n v="5"/>
    <n v="0.99"/>
    <n v="229.99"/>
    <n v="28.748750000000001"/>
    <n v="280.58780000000002"/>
    <n v="35.073475000000002"/>
    <n v="7.0146950000000006"/>
    <m/>
    <n v="6.0264600000000002"/>
    <n v="0.75330750000000002"/>
  </r>
  <r>
    <d v="2017-09-29T00:00:00"/>
    <s v="Seagate"/>
    <s v="BarraCuda"/>
    <x v="1"/>
    <x v="0"/>
    <x v="4"/>
    <n v="5400"/>
    <n v="4.16"/>
    <n v="9.5"/>
    <n v="0"/>
    <n v="210"/>
    <x v="2"/>
    <n v="300000"/>
    <n v="55"/>
    <m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</r>
  <r>
    <d v="2017-09-27T00:00:00"/>
    <s v="Seagate"/>
    <s v="BarraCuda"/>
    <x v="1"/>
    <x v="0"/>
    <x v="5"/>
    <n v="5400"/>
    <n v="6"/>
    <n v="15"/>
    <n v="0"/>
    <n v="210"/>
    <x v="2"/>
    <n v="600000"/>
    <n v="55"/>
    <m/>
    <n v="100000000000000"/>
    <n v="30"/>
    <n v="8"/>
    <n v="5.4"/>
    <n v="0.75"/>
    <n v="66.989999999999995"/>
    <n v="33.494999999999997"/>
    <n v="89.096699999999998"/>
    <n v="44.548349999999999"/>
    <n v="8.9096700000000002"/>
    <m/>
    <n v="6.486662400000001"/>
    <n v="3.2433312000000005"/>
  </r>
  <r>
    <d v="2017-10-06T00:00:00"/>
    <s v="Seagate"/>
    <s v="BarraCuda"/>
    <x v="1"/>
    <x v="0"/>
    <x v="12"/>
    <n v="5400"/>
    <n v="6"/>
    <n v="15"/>
    <n v="0"/>
    <n v="210"/>
    <x v="2"/>
    <n v="600000"/>
    <n v="55"/>
    <m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</r>
  <r>
    <d v="2017-10-11T00:00:00"/>
    <s v="Seagate"/>
    <s v="BarraCuda"/>
    <x v="1"/>
    <x v="0"/>
    <x v="0"/>
    <n v="5400"/>
    <n v="6"/>
    <n v="15"/>
    <n v="0"/>
    <n v="190"/>
    <x v="2"/>
    <n v="600000"/>
    <n v="55"/>
    <m/>
    <n v="100000000000000"/>
    <n v="24"/>
    <n v="5"/>
    <n v="2.5"/>
    <n v="0.25"/>
    <n v="114.99"/>
    <n v="28.747499999999999"/>
    <n v="152.9367"/>
    <n v="38.234175"/>
    <n v="7.6468350000000003"/>
    <m/>
    <n v="3.2871600000000001"/>
    <n v="0.82179000000000002"/>
  </r>
  <r>
    <d v="2017-10-11T00:00:00"/>
    <s v="Seagate"/>
    <s v="BarraCuda"/>
    <x v="1"/>
    <x v="1"/>
    <x v="4"/>
    <n v="5400"/>
    <m/>
    <m/>
    <n v="0"/>
    <n v="140"/>
    <x v="2"/>
    <n v="600000"/>
    <m/>
    <m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</r>
  <r>
    <d v="2017-10-11T00:00:00"/>
    <s v="Seagate"/>
    <s v="BarraCuda"/>
    <x v="1"/>
    <x v="1"/>
    <x v="5"/>
    <n v="5400"/>
    <m/>
    <m/>
    <n v="0"/>
    <n v="140"/>
    <x v="2"/>
    <n v="600000"/>
    <m/>
    <m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</r>
  <r>
    <d v="2017-10-11T00:00:00"/>
    <s v="Seagate"/>
    <s v="BarraCuda"/>
    <x v="1"/>
    <x v="1"/>
    <x v="12"/>
    <n v="5400"/>
    <m/>
    <m/>
    <n v="0"/>
    <n v="140"/>
    <x v="2"/>
    <n v="600000"/>
    <m/>
    <m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</r>
  <r>
    <d v="2017-10-11T00:00:00"/>
    <s v="Seagate"/>
    <s v="BarraCuda"/>
    <x v="1"/>
    <x v="1"/>
    <x v="0"/>
    <n v="5400"/>
    <m/>
    <m/>
    <n v="0"/>
    <n v="140"/>
    <x v="2"/>
    <n v="600000"/>
    <m/>
    <m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</r>
  <r>
    <d v="2017-07-31T00:00:00"/>
    <s v="Seagate"/>
    <s v="BarraCuda"/>
    <x v="1"/>
    <x v="1"/>
    <x v="6"/>
    <n v="5400"/>
    <m/>
    <m/>
    <n v="0"/>
    <n v="140"/>
    <x v="2"/>
    <n v="600000"/>
    <m/>
    <m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</r>
  <r>
    <d v="2017-10-11T00:00:00"/>
    <s v="Seagate"/>
    <s v="BarraCuda Pro"/>
    <x v="1"/>
    <x v="0"/>
    <x v="5"/>
    <n v="7200"/>
    <n v="4.16"/>
    <m/>
    <n v="0.33333333333333326"/>
    <n v="195"/>
    <x v="1"/>
    <n v="600000"/>
    <n v="180"/>
    <m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</r>
  <r>
    <d v="2017-10-11T00:00:00"/>
    <s v="Seagate"/>
    <s v="BarraCuda Pro"/>
    <x v="1"/>
    <x v="0"/>
    <x v="0"/>
    <n v="7200"/>
    <n v="4.16"/>
    <m/>
    <n v="0.33333333333333326"/>
    <n v="214"/>
    <x v="1"/>
    <n v="600000"/>
    <n v="180"/>
    <m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</r>
  <r>
    <d v="2017-05-06T00:00:00"/>
    <s v="Seagate"/>
    <s v="BarraCuda Pro"/>
    <x v="1"/>
    <x v="0"/>
    <x v="6"/>
    <n v="7200"/>
    <n v="4.16"/>
    <m/>
    <n v="0.33333333333333326"/>
    <n v="220"/>
    <x v="1"/>
    <n v="300000"/>
    <n v="300"/>
    <m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</r>
  <r>
    <d v="2017-10-11T00:00:00"/>
    <s v="Seagate"/>
    <s v="BarraCuda Pro"/>
    <x v="1"/>
    <x v="0"/>
    <x v="1"/>
    <n v="7200"/>
    <n v="4.16"/>
    <m/>
    <n v="0.33333333333333326"/>
    <n v="180"/>
    <x v="1"/>
    <n v="300000"/>
    <n v="300"/>
    <m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</r>
  <r>
    <d v="2017-10-11T00:00:00"/>
    <s v="Seagate"/>
    <s v="BarraCuda Pro"/>
    <x v="1"/>
    <x v="0"/>
    <x v="2"/>
    <n v="7200"/>
    <n v="4.16"/>
    <m/>
    <n v="0.33333333333333326"/>
    <n v="220"/>
    <x v="1"/>
    <n v="300000"/>
    <n v="300"/>
    <m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</r>
  <r>
    <d v="2017-10-11T00:00:00"/>
    <s v="Seagate"/>
    <s v="BarraCuda Pro"/>
    <x v="1"/>
    <x v="0"/>
    <x v="3"/>
    <n v="7200"/>
    <n v="4.16"/>
    <m/>
    <n v="0.33333333333333326"/>
    <n v="220"/>
    <x v="1"/>
    <n v="300000"/>
    <n v="300"/>
    <m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</r>
  <r>
    <d v="2017-10-11T00:00:00"/>
    <s v="Seagate"/>
    <s v="BarraCuda Pro"/>
    <x v="1"/>
    <x v="0"/>
    <x v="10"/>
    <n v="7200"/>
    <m/>
    <m/>
    <n v="0.33333333333333326"/>
    <n v="250"/>
    <x v="1"/>
    <m/>
    <n v="300"/>
    <m/>
    <m/>
    <m/>
    <m/>
    <m/>
    <m/>
    <n v="524.99"/>
    <n v="43.749166666666667"/>
    <n v="524.99"/>
    <n v="43.749166666666667"/>
    <n v="8.7498333333333331"/>
    <m/>
    <m/>
    <m/>
  </r>
  <r>
    <d v="2017-09-03T00:00:00"/>
    <s v="Seagate"/>
    <s v="Constellation ES.3 "/>
    <x v="0"/>
    <x v="0"/>
    <x v="4"/>
    <n v="7200"/>
    <n v="4.16"/>
    <m/>
    <n v="0.33333333333333326"/>
    <n v="175"/>
    <x v="1"/>
    <m/>
    <m/>
    <n v="2000000"/>
    <n v="1000000000000000"/>
    <n v="31.200000000000003"/>
    <n v="8.08"/>
    <n v="4.45"/>
    <n v="0.8"/>
    <n v="90"/>
    <n v="90"/>
    <n v="90"/>
    <n v="90"/>
    <n v="18"/>
    <m/>
    <n v="5.6714467200000014"/>
    <n v="5.6714467200000014"/>
  </r>
  <r>
    <d v="2017-10-11T00:00:00"/>
    <s v="Seagate"/>
    <s v="Constellation ES.3 "/>
    <x v="0"/>
    <x v="0"/>
    <x v="5"/>
    <n v="7200"/>
    <n v="4.16"/>
    <m/>
    <n v="0.33333333333333326"/>
    <n v="175"/>
    <x v="1"/>
    <m/>
    <m/>
    <n v="2000000"/>
    <n v="1000000000000000"/>
    <n v="31.200000000000003"/>
    <n v="9.42"/>
    <n v="5.17"/>
    <n v="0.87"/>
    <n v="164"/>
    <n v="82"/>
    <n v="164"/>
    <n v="82"/>
    <n v="16.399999999999999"/>
    <m/>
    <n v="6.5962344000000002"/>
    <n v="3.2981172000000001"/>
  </r>
  <r>
    <d v="2017-09-03T00:00:00"/>
    <s v="Seagate"/>
    <s v="Constellation ES.3 "/>
    <x v="0"/>
    <x v="0"/>
    <x v="12"/>
    <n v="7200"/>
    <n v="4.16"/>
    <m/>
    <n v="0.33333333333333326"/>
    <n v="175"/>
    <x v="1"/>
    <m/>
    <m/>
    <n v="2000000"/>
    <n v="1000000000000000"/>
    <n v="31.200000000000003"/>
    <n v="11.27"/>
    <n v="6.73"/>
    <n v="0.87"/>
    <n v="129.99"/>
    <n v="43.330000000000005"/>
    <n v="129.99"/>
    <n v="43.330000000000005"/>
    <n v="8.6660000000000004"/>
    <m/>
    <n v="8.3691093600000013"/>
    <n v="2.7897031200000004"/>
  </r>
  <r>
    <d v="2017-10-11T00:00:00"/>
    <s v="Seagate"/>
    <s v="Constellation ES.3 "/>
    <x v="0"/>
    <x v="0"/>
    <x v="0"/>
    <n v="7200"/>
    <n v="4.16"/>
    <m/>
    <n v="0.33333333333333326"/>
    <n v="175"/>
    <x v="1"/>
    <m/>
    <m/>
    <n v="2000000"/>
    <n v="1000000000000000"/>
    <n v="31.200000000000003"/>
    <n v="11.27"/>
    <n v="6.73"/>
    <n v="0.87"/>
    <n v="175"/>
    <n v="43.75"/>
    <n v="175"/>
    <n v="43.75"/>
    <n v="8.75"/>
    <m/>
    <n v="8.3691093600000013"/>
    <n v="2.0922773400000003"/>
  </r>
  <r>
    <d v="2017-08-24T00:00:00"/>
    <s v="Seagate"/>
    <s v="Enterprise Capacity v5"/>
    <x v="0"/>
    <x v="0"/>
    <x v="4"/>
    <n v="7200"/>
    <n v="4.16"/>
    <m/>
    <n v="0.33333333333333326"/>
    <n v="215"/>
    <x v="1"/>
    <m/>
    <n v="550"/>
    <n v="2000000"/>
    <n v="1000000000000000"/>
    <m/>
    <n v="5.91"/>
    <n v="4.25"/>
    <m/>
    <n v="99.99"/>
    <n v="99.99"/>
    <n v="99.99"/>
    <n v="99.99"/>
    <n v="19.997999999999998"/>
    <m/>
    <n v="5.0205890399999999"/>
    <n v="5.0205890399999999"/>
  </r>
  <r>
    <d v="2017-08-23T00:00:00"/>
    <s v="Seagate"/>
    <s v="Enterprise Capacity v5"/>
    <x v="0"/>
    <x v="0"/>
    <x v="5"/>
    <n v="7200"/>
    <n v="4.16"/>
    <m/>
    <n v="0.33333333333333326"/>
    <n v="226"/>
    <x v="1"/>
    <m/>
    <n v="550"/>
    <n v="2000000"/>
    <n v="1000000000000000"/>
    <m/>
    <n v="5.91"/>
    <n v="4.25"/>
    <n v="0.6"/>
    <n v="107.991"/>
    <n v="53.9955"/>
    <n v="107.991"/>
    <n v="53.9955"/>
    <n v="10.799099999999999"/>
    <m/>
    <n v="5.0205890399999999"/>
    <n v="2.51029452"/>
  </r>
  <r>
    <d v="2017-08-24T00:00:00"/>
    <s v="Seagate"/>
    <s v="Enterprise Capacity v5"/>
    <x v="0"/>
    <x v="0"/>
    <x v="12"/>
    <n v="7200"/>
    <n v="4.16"/>
    <m/>
    <n v="0.33333333333333326"/>
    <n v="215"/>
    <x v="1"/>
    <m/>
    <n v="550"/>
    <n v="2000000"/>
    <n v="1000000000000000"/>
    <m/>
    <n v="6.9"/>
    <n v="5.45"/>
    <n v="0.6"/>
    <n v="176.92"/>
    <n v="58.973333333333329"/>
    <n v="176.92"/>
    <n v="58.973333333333329"/>
    <n v="11.794666666666666"/>
    <m/>
    <n v="6.2894328000000002"/>
    <n v="2.0964776000000001"/>
  </r>
  <r>
    <d v="2017-10-11T00:00:00"/>
    <s v="Seagate"/>
    <s v="Enterprise Capacity v5"/>
    <x v="0"/>
    <x v="0"/>
    <x v="0"/>
    <n v="7200"/>
    <n v="4.16"/>
    <m/>
    <n v="0.33333333333333326"/>
    <n v="226"/>
    <x v="1"/>
    <m/>
    <n v="550"/>
    <n v="2000000"/>
    <n v="1000000000000000"/>
    <m/>
    <n v="6.9"/>
    <n v="5.45"/>
    <n v="0.6"/>
    <n v="154.99"/>
    <n v="38.747500000000002"/>
    <n v="154.99"/>
    <n v="38.747500000000002"/>
    <n v="7.7495000000000003"/>
    <m/>
    <n v="6.2894328000000002"/>
    <n v="1.5723582"/>
  </r>
  <r>
    <d v="2017-09-15T00:00:00"/>
    <s v="Seagate"/>
    <s v="Enterprise Capacity v5"/>
    <x v="0"/>
    <x v="0"/>
    <x v="1"/>
    <n v="7200"/>
    <n v="4.16"/>
    <m/>
    <n v="0.33333333333333326"/>
    <n v="226"/>
    <x v="1"/>
    <m/>
    <n v="550"/>
    <n v="2000000"/>
    <n v="1000000000000000"/>
    <m/>
    <n v="9.8000000000000007"/>
    <n v="8.15"/>
    <n v="0.6"/>
    <n v="220.49100000000001"/>
    <n v="36.7485"/>
    <n v="220.49100000000001"/>
    <n v="36.7485"/>
    <n v="7.3497000000000003"/>
    <m/>
    <n v="9.2917056000000002"/>
    <n v="1.5486176"/>
  </r>
  <r>
    <d v="2017-08-23T00:00:00"/>
    <s v="Seagate"/>
    <s v="Enterprise Capacity v5"/>
    <x v="0"/>
    <x v="0"/>
    <x v="2"/>
    <n v="7200"/>
    <n v="4.16"/>
    <m/>
    <n v="0.33333333333333326"/>
    <n v="249"/>
    <x v="1"/>
    <m/>
    <n v="550"/>
    <n v="2000000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</r>
  <r>
    <d v="2017-10-11T00:00:00"/>
    <s v="Seagate"/>
    <s v="Enterprise Capacity He v6"/>
    <x v="0"/>
    <x v="0"/>
    <x v="2"/>
    <n v="7200"/>
    <n v="4.16"/>
    <m/>
    <n v="0.33333333333333326"/>
    <n v="237"/>
    <x v="1"/>
    <n v="600000"/>
    <n v="550"/>
    <n v="2500000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</r>
  <r>
    <d v="2017-10-11T00:00:00"/>
    <s v="Seagate"/>
    <s v="Enterprise Capacity He v6"/>
    <x v="0"/>
    <x v="0"/>
    <x v="3"/>
    <n v="7200"/>
    <n v="4.16"/>
    <m/>
    <n v="0.33333333333333326"/>
    <n v="237"/>
    <x v="1"/>
    <n v="600000"/>
    <n v="550"/>
    <n v="2500000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</r>
  <r>
    <d v="2017-10-11T00:00:00"/>
    <s v="Seagate"/>
    <s v="Enterprise Capacity He v7"/>
    <x v="0"/>
    <x v="0"/>
    <x v="10"/>
    <n v="7200"/>
    <n v="4.16"/>
    <m/>
    <n v="0.33333333333333326"/>
    <n v="261"/>
    <x v="1"/>
    <n v="600000"/>
    <n v="550"/>
    <n v="2500000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</r>
  <r>
    <d v="2017-09-27T00:00:00"/>
    <s v="Seagate"/>
    <s v="Enterprise Capacity"/>
    <x v="0"/>
    <x v="1"/>
    <x v="4"/>
    <n v="7200"/>
    <n v="4.16"/>
    <m/>
    <n v="0.33333333333333326"/>
    <n v="130"/>
    <x v="1"/>
    <n v="300000"/>
    <n v="550"/>
    <n v="2000000"/>
    <n v="1000000000000000"/>
    <n v="10.899999999999999"/>
    <n v="4.74"/>
    <n v="3.51"/>
    <n v="1.1399999999999999"/>
    <n v="182.13"/>
    <n v="182.13"/>
    <n v="182.13"/>
    <n v="182.13"/>
    <n v="36.426000000000002"/>
    <m/>
    <n v="4.1155243199999996"/>
    <n v="4.1155243199999996"/>
  </r>
  <r>
    <d v="2017-09-27T00:00:00"/>
    <s v="Seagate"/>
    <s v="Enterprise Capacity"/>
    <x v="0"/>
    <x v="1"/>
    <x v="5"/>
    <n v="7200"/>
    <n v="4.16"/>
    <m/>
    <n v="0.33333333333333326"/>
    <n v="130"/>
    <x v="1"/>
    <n v="300000"/>
    <n v="550"/>
    <n v="2000000"/>
    <n v="1000000000000000"/>
    <n v="10.899999999999999"/>
    <n v="5.98"/>
    <n v="3.87"/>
    <n v="1.1399999999999999"/>
    <n v="329.99"/>
    <n v="164.995"/>
    <n v="329.99"/>
    <n v="164.995"/>
    <n v="32.999000000000002"/>
    <m/>
    <n v="4.7028302400000008"/>
    <n v="2.3514151200000004"/>
  </r>
  <r>
    <d v="2017-10-11T00:00:00"/>
    <s v="Seagate"/>
    <s v="Enterprise Performance 10K.9"/>
    <x v="0"/>
    <x v="1"/>
    <x v="8"/>
    <n v="10500"/>
    <n v="2.9"/>
    <m/>
    <n v="0.94444444444444442"/>
    <n v="270"/>
    <x v="1"/>
    <m/>
    <n v="550"/>
    <n v="2000000"/>
    <n v="1E+16"/>
    <m/>
    <n v="6.95"/>
    <n v="4.26"/>
    <m/>
    <m/>
    <n v="0"/>
    <n v="0"/>
    <n v="0"/>
    <n v="0"/>
    <m/>
    <n v="5.2572645600000003"/>
    <n v="2.9207025333333334"/>
  </r>
  <r>
    <d v="2017-10-11T00:00:00"/>
    <s v="Seagate"/>
    <s v="Enterprise Performance 10K.9"/>
    <x v="0"/>
    <x v="1"/>
    <x v="13"/>
    <n v="10500"/>
    <n v="2.9"/>
    <m/>
    <n v="0.94444444444444442"/>
    <n v="270"/>
    <x v="1"/>
    <m/>
    <n v="550"/>
    <n v="2000000"/>
    <n v="1E+16"/>
    <m/>
    <n v="8.57"/>
    <n v="4.9000000000000004"/>
    <m/>
    <m/>
    <n v="0"/>
    <n v="0"/>
    <n v="0"/>
    <n v="0"/>
    <m/>
    <n v="6.1732864799999998"/>
    <n v="2.5722027000000001"/>
  </r>
  <r>
    <d v="2017-10-11T00:00:00"/>
    <s v="Seagate"/>
    <s v="Enterprise Performance 15K.6"/>
    <x v="0"/>
    <x v="0"/>
    <x v="14"/>
    <n v="15000"/>
    <n v="2"/>
    <m/>
    <n v="1.7777777777777777"/>
    <n v="215"/>
    <x v="1"/>
    <m/>
    <n v="550"/>
    <n v="2000000"/>
    <n v="1E+16"/>
    <m/>
    <n v="7.6"/>
    <n v="5.7"/>
    <m/>
    <m/>
    <n v="0"/>
    <n v="0"/>
    <n v="0"/>
    <n v="0"/>
    <m/>
    <n v="6.6619776000000002"/>
    <n v="7.4021973333333335"/>
  </r>
  <r>
    <d v="2017-10-11T00:00:00"/>
    <s v="Seagate"/>
    <s v="FireCuda SSHD"/>
    <x v="1"/>
    <x v="0"/>
    <x v="4"/>
    <n v="7200"/>
    <m/>
    <m/>
    <n v="0.33333333333333326"/>
    <m/>
    <x v="1"/>
    <m/>
    <m/>
    <m/>
    <m/>
    <n v="24"/>
    <n v="5.9"/>
    <n v="4.5"/>
    <n v="0.63"/>
    <n v="75.989999999999995"/>
    <n v="75.989999999999995"/>
    <n v="75.989999999999995"/>
    <n v="75.989999999999995"/>
    <n v="15.197999999999999"/>
    <m/>
    <n v="5.2375416000000001"/>
    <n v="5.2375416000000001"/>
  </r>
  <r>
    <d v="2017-10-11T00:00:00"/>
    <s v="Seagate"/>
    <s v="FireCuda SSHD"/>
    <x v="1"/>
    <x v="0"/>
    <x v="5"/>
    <n v="7200"/>
    <m/>
    <m/>
    <n v="0.33333333333333326"/>
    <m/>
    <x v="1"/>
    <m/>
    <m/>
    <m/>
    <m/>
    <n v="24"/>
    <n v="6.7"/>
    <n v="3.36"/>
    <n v="0.75"/>
    <n v="99.99"/>
    <n v="49.994999999999997"/>
    <n v="99.99"/>
    <n v="49.994999999999997"/>
    <n v="9.9989999999999988"/>
    <m/>
    <n v="4.4135601600000003"/>
    <n v="2.2067800800000001"/>
  </r>
  <r>
    <d v="2017-09-27T00:00:00"/>
    <s v="Seagate"/>
    <s v="FireCuda SSHD"/>
    <x v="1"/>
    <x v="1"/>
    <x v="4"/>
    <n v="5400"/>
    <m/>
    <m/>
    <n v="0"/>
    <m/>
    <x v="1"/>
    <m/>
    <m/>
    <m/>
    <m/>
    <n v="5"/>
    <n v="1.7"/>
    <n v="1.45"/>
    <m/>
    <n v="62.99"/>
    <n v="62.99"/>
    <n v="62.99"/>
    <n v="62.99"/>
    <n v="12.598000000000001"/>
    <m/>
    <n v="1.64358"/>
    <n v="1.64358"/>
  </r>
  <r>
    <d v="2017-09-27T00:00:00"/>
    <s v="Seagate"/>
    <s v="FireCuda SSHD"/>
    <x v="1"/>
    <x v="1"/>
    <x v="5"/>
    <n v="5400"/>
    <m/>
    <m/>
    <n v="0"/>
    <m/>
    <x v="1"/>
    <m/>
    <m/>
    <m/>
    <m/>
    <n v="5"/>
    <n v="1.8"/>
    <n v="1.5"/>
    <m/>
    <n v="89.99"/>
    <n v="44.994999999999997"/>
    <n v="89.99"/>
    <n v="44.994999999999997"/>
    <n v="8.9989999999999988"/>
    <m/>
    <n v="1.7093232"/>
    <n v="0.85466160000000002"/>
  </r>
  <r>
    <d v="2017-10-11T00:00:00"/>
    <s v="Seagate"/>
    <s v="IronWolf"/>
    <x v="0"/>
    <x v="0"/>
    <x v="4"/>
    <n v="5900"/>
    <n v="5.0999999999999996"/>
    <n v="11.99"/>
    <n v="9.259259259259256E-2"/>
    <n v="180"/>
    <x v="0"/>
    <n v="600000"/>
    <n v="180"/>
    <n v="1000000"/>
    <n v="100000000000000"/>
    <n v="14.399999999999999"/>
    <n v="3.76"/>
    <n v="2.5"/>
    <n v="0.8"/>
    <n v="64.98"/>
    <n v="64.98"/>
    <n v="79.275599999999997"/>
    <n v="79.275599999999997"/>
    <n v="15.855119999999999"/>
    <m/>
    <n v="3.0154214399999999"/>
    <n v="3.0154214399999999"/>
  </r>
  <r>
    <d v="2017-10-11T00:00:00"/>
    <s v="Seagate"/>
    <s v="IronWolf"/>
    <x v="0"/>
    <x v="0"/>
    <x v="5"/>
    <n v="5900"/>
    <n v="5.0999999999999996"/>
    <n v="11.99"/>
    <n v="9.259259259259256E-2"/>
    <n v="180"/>
    <x v="0"/>
    <n v="600000"/>
    <n v="180"/>
    <n v="100000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</r>
  <r>
    <d v="2017-10-11T00:00:00"/>
    <s v="Seagate"/>
    <s v="IronWolf"/>
    <x v="0"/>
    <x v="0"/>
    <x v="12"/>
    <n v="5900"/>
    <n v="5.0999999999999996"/>
    <n v="11.99"/>
    <n v="9.259259259259256E-2"/>
    <n v="180"/>
    <x v="0"/>
    <n v="600000"/>
    <n v="180"/>
    <n v="100000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</r>
  <r>
    <d v="2017-10-11T00:00:00"/>
    <s v="Seagate"/>
    <s v="IronWolf"/>
    <x v="0"/>
    <x v="0"/>
    <x v="0"/>
    <n v="5900"/>
    <n v="5.0999999999999996"/>
    <n v="9.5"/>
    <n v="9.259259259259256E-2"/>
    <n v="180"/>
    <x v="0"/>
    <n v="600000"/>
    <n v="180"/>
    <n v="1000000"/>
    <n v="100000000000000"/>
    <n v="21.6"/>
    <n v="4.8"/>
    <n v="3.95"/>
    <n v="0.5"/>
    <n v="129"/>
    <n v="32.25"/>
    <n v="157.38"/>
    <n v="39.344999999999999"/>
    <n v="7.8689999999999998"/>
    <m/>
    <n v="4.5143664000000001"/>
    <n v="1.1285916"/>
  </r>
  <r>
    <d v="2017-10-11T00:00:00"/>
    <s v="Seagate"/>
    <s v="IronWolf"/>
    <x v="0"/>
    <x v="0"/>
    <x v="1"/>
    <n v="7200"/>
    <n v="4"/>
    <n v="9.5"/>
    <n v="0.33333333333333326"/>
    <n v="210"/>
    <x v="0"/>
    <n v="600000"/>
    <n v="180"/>
    <n v="100000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</r>
  <r>
    <d v="2017-10-11T00:00:00"/>
    <s v="Seagate"/>
    <s v="IronWolf"/>
    <x v="0"/>
    <x v="0"/>
    <x v="2"/>
    <n v="7200"/>
    <n v="4"/>
    <n v="9.5"/>
    <n v="0.33333333333333326"/>
    <n v="210"/>
    <x v="0"/>
    <n v="600000"/>
    <n v="180"/>
    <n v="100000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</r>
  <r>
    <d v="2017-10-11T00:00:00"/>
    <s v="Seagate"/>
    <s v="IronWolf"/>
    <x v="0"/>
    <x v="0"/>
    <x v="3"/>
    <n v="7200"/>
    <m/>
    <m/>
    <n v="0.33333333333333326"/>
    <n v="210"/>
    <x v="0"/>
    <n v="600000"/>
    <n v="180"/>
    <n v="1000000"/>
    <n v="1000000000000000"/>
    <n v="21.6"/>
    <n v="7.8"/>
    <n v="5"/>
    <n v="0.8"/>
    <n v="379.99"/>
    <n v="37.999000000000002"/>
    <n v="463.58780000000002"/>
    <n v="46.358780000000003"/>
    <n v="9.2717559999999999"/>
    <m/>
    <n v="6.0922032000000002"/>
    <n v="0.60922032000000004"/>
  </r>
  <r>
    <d v="2017-09-29T00:00:00"/>
    <s v="Seagate"/>
    <s v="IronWolf Pro"/>
    <x v="0"/>
    <x v="0"/>
    <x v="5"/>
    <n v="7200"/>
    <n v="4.16"/>
    <m/>
    <n v="0.33333333333333326"/>
    <n v="195"/>
    <x v="1"/>
    <m/>
    <n v="300"/>
    <n v="1200000"/>
    <n v="1000000000000000"/>
    <n v="24"/>
    <n v="6.5"/>
    <n v="4.6100000000000003"/>
    <n v="0.8"/>
    <n v="144.99"/>
    <n v="72.495000000000005"/>
    <n v="144.99"/>
    <n v="72.495000000000005"/>
    <n v="14.499000000000001"/>
    <m/>
    <n v="5.4654513600000012"/>
    <n v="2.7327256800000006"/>
  </r>
  <r>
    <d v="2017-10-11T00:00:00"/>
    <s v="Seagate"/>
    <s v="IronWolf Pro"/>
    <x v="0"/>
    <x v="0"/>
    <x v="0"/>
    <n v="7200"/>
    <n v="4.16"/>
    <m/>
    <n v="0.33333333333333326"/>
    <n v="214"/>
    <x v="1"/>
    <m/>
    <n v="300"/>
    <n v="1200000"/>
    <n v="1000000000000000"/>
    <n v="24"/>
    <n v="8.5"/>
    <n v="5.45"/>
    <n v="0.6"/>
    <n v="189.99"/>
    <n v="47.497500000000002"/>
    <n v="189.99"/>
    <n v="47.497500000000002"/>
    <n v="9.4995000000000012"/>
    <m/>
    <n v="6.6400632000000002"/>
    <n v="1.6600158"/>
  </r>
  <r>
    <d v="2017-10-11T00:00:00"/>
    <s v="Seagate"/>
    <s v="IronWolf Pro"/>
    <x v="0"/>
    <x v="0"/>
    <x v="1"/>
    <n v="7200"/>
    <n v="4.16"/>
    <m/>
    <n v="0.33333333333333326"/>
    <n v="214"/>
    <x v="1"/>
    <m/>
    <n v="300"/>
    <n v="1200000"/>
    <n v="1000000000000000"/>
    <n v="24"/>
    <n v="8.1"/>
    <n v="7.5"/>
    <n v="0.6"/>
    <n v="269.99"/>
    <n v="44.998333333333335"/>
    <n v="269.99"/>
    <n v="44.998333333333335"/>
    <n v="8.9996666666666663"/>
    <m/>
    <n v="8.3493864000000002"/>
    <n v="1.3915644"/>
  </r>
  <r>
    <d v="2017-09-03T00:00:00"/>
    <s v="Seagate"/>
    <s v="IronWolf Pro"/>
    <x v="0"/>
    <x v="0"/>
    <x v="2"/>
    <n v="7200"/>
    <n v="4.16"/>
    <m/>
    <n v="0.33333333333333326"/>
    <n v="214"/>
    <x v="1"/>
    <m/>
    <n v="300"/>
    <n v="1200000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</r>
  <r>
    <d v="2017-10-11T00:00:00"/>
    <s v="Seagate"/>
    <s v="IronWolf Pro"/>
    <x v="0"/>
    <x v="0"/>
    <x v="3"/>
    <n v="7200"/>
    <n v="4.16"/>
    <m/>
    <n v="0.33333333333333326"/>
    <n v="214"/>
    <x v="1"/>
    <m/>
    <n v="300"/>
    <n v="1200000"/>
    <n v="1000000000000000"/>
    <n v="24"/>
    <n v="7.4"/>
    <n v="5"/>
    <n v="0.8"/>
    <n v="429.99"/>
    <n v="42.999000000000002"/>
    <n v="429.99"/>
    <n v="42.999000000000002"/>
    <n v="8.5998000000000001"/>
    <m/>
    <n v="6.0045456000000001"/>
    <n v="0.60045455999999997"/>
  </r>
  <r>
    <d v="2017-08-13T00:00:00"/>
    <s v="Seagate"/>
    <s v="Terascale"/>
    <x v="1"/>
    <x v="0"/>
    <x v="0"/>
    <n v="5900"/>
    <m/>
    <m/>
    <n v="9.259259259259256E-2"/>
    <m/>
    <x v="0"/>
    <m/>
    <m/>
    <m/>
    <m/>
    <n v="24"/>
    <n v="6.49"/>
    <n v="4.59"/>
    <n v="0.77"/>
    <n v="189.99"/>
    <n v="47.497500000000002"/>
    <n v="231.7878"/>
    <n v="57.946950000000001"/>
    <n v="11.58939"/>
    <m/>
    <n v="5.4457284000000001"/>
    <n v="1.3614321"/>
  </r>
  <r>
    <d v="2017-10-11T00:00:00"/>
    <s v="Toshiba"/>
    <s v="N300"/>
    <x v="0"/>
    <x v="0"/>
    <x v="0"/>
    <n v="7200"/>
    <n v="4.17"/>
    <m/>
    <n v="0.33333333333333326"/>
    <n v="200"/>
    <x v="0"/>
    <m/>
    <n v="180"/>
    <n v="1000000"/>
    <n v="100000000000000"/>
    <m/>
    <n v="9.6"/>
    <n v="5.2"/>
    <m/>
    <n v="129.99"/>
    <n v="32.497500000000002"/>
    <n v="158.58780000000002"/>
    <n v="39.646950000000004"/>
    <n v="7.9293900000000006"/>
    <m/>
    <n v="6.6619776000000011"/>
    <n v="1.6654944000000003"/>
  </r>
  <r>
    <d v="2017-10-11T00:00:00"/>
    <s v="Toshiba"/>
    <s v="N300"/>
    <x v="0"/>
    <x v="0"/>
    <x v="1"/>
    <n v="7200"/>
    <n v="4.17"/>
    <m/>
    <n v="0.33333333333333326"/>
    <n v="210"/>
    <x v="0"/>
    <m/>
    <n v="180"/>
    <n v="100000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</r>
  <r>
    <d v="2017-10-11T00:00:00"/>
    <s v="Toshiba"/>
    <s v="N300"/>
    <x v="0"/>
    <x v="0"/>
    <x v="2"/>
    <n v="7200"/>
    <n v="4.17"/>
    <m/>
    <n v="0.33333333333333326"/>
    <n v="240"/>
    <x v="0"/>
    <m/>
    <n v="180"/>
    <n v="100000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</r>
  <r>
    <d v="2017-10-11T00:00:00"/>
    <s v="Toshiba"/>
    <s v="P300"/>
    <x v="1"/>
    <x v="0"/>
    <x v="4"/>
    <n v="7200"/>
    <n v="4.17"/>
    <m/>
    <n v="0.33333333333333326"/>
    <m/>
    <x v="2"/>
    <m/>
    <m/>
    <m/>
    <m/>
    <m/>
    <m/>
    <m/>
    <m/>
    <n v="49.99"/>
    <n v="49.99"/>
    <n v="66.486699999999999"/>
    <n v="66.486699999999999"/>
    <n v="13.29734"/>
    <m/>
    <m/>
    <m/>
  </r>
  <r>
    <d v="2017-10-07T00:00:00"/>
    <s v="Toshiba"/>
    <s v="P300"/>
    <x v="1"/>
    <x v="0"/>
    <x v="5"/>
    <n v="7200"/>
    <n v="4.17"/>
    <m/>
    <n v="0.33333333333333326"/>
    <m/>
    <x v="2"/>
    <m/>
    <m/>
    <m/>
    <m/>
    <m/>
    <m/>
    <m/>
    <m/>
    <n v="71.989999999999995"/>
    <n v="35.994999999999997"/>
    <n v="95.74669999999999"/>
    <n v="47.873349999999995"/>
    <n v="9.5746699999999993"/>
    <m/>
    <m/>
    <m/>
  </r>
  <r>
    <d v="2017-10-11T00:00:00"/>
    <s v="Toshiba"/>
    <s v="P300"/>
    <x v="1"/>
    <x v="0"/>
    <x v="12"/>
    <n v="7200"/>
    <n v="4.17"/>
    <m/>
    <n v="0.33333333333333326"/>
    <m/>
    <x v="2"/>
    <m/>
    <m/>
    <m/>
    <m/>
    <m/>
    <m/>
    <m/>
    <m/>
    <n v="89.99"/>
    <n v="29.996666666666666"/>
    <n v="119.6867"/>
    <n v="39.895566666666667"/>
    <n v="7.9791133333333333"/>
    <m/>
    <m/>
    <m/>
  </r>
  <r>
    <d v="2017-10-11T00:00:00"/>
    <s v="Toshiba"/>
    <s v="X300"/>
    <x v="1"/>
    <x v="0"/>
    <x v="0"/>
    <n v="7200"/>
    <n v="4.17"/>
    <m/>
    <n v="0.33333333333333326"/>
    <m/>
    <x v="2"/>
    <m/>
    <m/>
    <m/>
    <m/>
    <m/>
    <m/>
    <m/>
    <m/>
    <n v="129.99"/>
    <n v="32.497500000000002"/>
    <n v="172.88670000000002"/>
    <n v="43.221675000000005"/>
    <n v="8.6443350000000017"/>
    <m/>
    <m/>
    <m/>
  </r>
  <r>
    <d v="2017-10-11T00:00:00"/>
    <s v="Toshiba"/>
    <s v="X300"/>
    <x v="1"/>
    <x v="0"/>
    <x v="6"/>
    <n v="7200"/>
    <n v="4.17"/>
    <m/>
    <n v="0.33333333333333326"/>
    <m/>
    <x v="2"/>
    <m/>
    <m/>
    <m/>
    <m/>
    <m/>
    <m/>
    <m/>
    <m/>
    <n v="141.97"/>
    <n v="28.393999999999998"/>
    <n v="188.8201"/>
    <n v="37.764020000000002"/>
    <n v="7.5528040000000001"/>
    <m/>
    <m/>
    <m/>
  </r>
  <r>
    <d v="2017-10-11T00:00:00"/>
    <s v="Toshiba"/>
    <s v="X300"/>
    <x v="1"/>
    <x v="0"/>
    <x v="1"/>
    <n v="7200"/>
    <n v="4.17"/>
    <m/>
    <n v="0.33333333333333326"/>
    <m/>
    <x v="2"/>
    <m/>
    <m/>
    <m/>
    <m/>
    <m/>
    <m/>
    <m/>
    <m/>
    <n v="189.99"/>
    <n v="31.665000000000003"/>
    <n v="252.68670000000003"/>
    <n v="42.114450000000005"/>
    <n v="8.4228900000000007"/>
    <m/>
    <m/>
    <m/>
  </r>
  <r>
    <d v="2017-10-11T00:00:00"/>
    <s v="Toshiba"/>
    <s v="X300"/>
    <x v="1"/>
    <x v="0"/>
    <x v="2"/>
    <n v="7200"/>
    <n v="4.17"/>
    <m/>
    <n v="0.33333333333333326"/>
    <m/>
    <x v="2"/>
    <m/>
    <m/>
    <m/>
    <m/>
    <m/>
    <m/>
    <m/>
    <m/>
    <n v="254.99"/>
    <n v="31.873750000000001"/>
    <n v="339.13670000000002"/>
    <n v="42.392087500000002"/>
    <n v="8.4784175000000008"/>
    <m/>
    <m/>
    <m/>
  </r>
  <r>
    <d v="2017-10-10T00:00:00"/>
    <s v="WD"/>
    <s v="Ae"/>
    <x v="1"/>
    <x v="0"/>
    <x v="1"/>
    <n v="5760"/>
    <m/>
    <m/>
    <n v="6.6666666666666652E-2"/>
    <n v="150"/>
    <x v="0"/>
    <n v="300000"/>
    <m/>
    <n v="500000"/>
    <n v="100000000000000"/>
    <m/>
    <n v="6.5"/>
    <n v="4.8"/>
    <m/>
    <n v="189.99"/>
    <n v="31.665000000000003"/>
    <n v="231.7878"/>
    <n v="38.631300000000003"/>
    <n v="7.7262600000000008"/>
    <m/>
    <n v="5.6320008000000001"/>
    <n v="0.93866680000000002"/>
  </r>
  <r>
    <d v="2017-10-11T00:00:00"/>
    <s v="WD"/>
    <s v="Black"/>
    <x v="1"/>
    <x v="0"/>
    <x v="4"/>
    <n v="7200"/>
    <m/>
    <m/>
    <n v="0.33333333333333326"/>
    <n v="150"/>
    <x v="1"/>
    <n v="300000"/>
    <m/>
    <m/>
    <n v="100000000000000"/>
    <m/>
    <n v="6.8"/>
    <n v="6.1"/>
    <n v="0.8"/>
    <n v="67.989999999999995"/>
    <n v="67.989999999999995"/>
    <n v="67.989999999999995"/>
    <n v="67.989999999999995"/>
    <n v="13.597999999999999"/>
    <m/>
    <n v="6.8372928000000002"/>
    <n v="6.8372928000000002"/>
  </r>
  <r>
    <d v="2017-10-11T00:00:00"/>
    <s v="WD"/>
    <s v="Black"/>
    <x v="1"/>
    <x v="0"/>
    <x v="5"/>
    <n v="7200"/>
    <m/>
    <m/>
    <n v="0.33333333333333326"/>
    <n v="164"/>
    <x v="1"/>
    <n v="300000"/>
    <m/>
    <m/>
    <n v="100000000000000"/>
    <m/>
    <n v="9.5"/>
    <n v="8.1"/>
    <n v="1.3"/>
    <n v="119.99"/>
    <n v="59.994999999999997"/>
    <n v="119.99"/>
    <n v="59.994999999999997"/>
    <n v="11.998999999999999"/>
    <m/>
    <n v="9.1821336000000002"/>
    <n v="4.5910668000000001"/>
  </r>
  <r>
    <d v="2017-10-11T00:00:00"/>
    <s v="WD"/>
    <s v="Black"/>
    <x v="1"/>
    <x v="0"/>
    <x v="0"/>
    <n v="7200"/>
    <m/>
    <m/>
    <n v="0.33333333333333326"/>
    <n v="202"/>
    <x v="1"/>
    <n v="300000"/>
    <m/>
    <m/>
    <n v="100000000000000"/>
    <m/>
    <n v="10.6"/>
    <n v="7.6"/>
    <n v="1.6"/>
    <n v="184.99"/>
    <n v="46.247500000000002"/>
    <n v="184.99"/>
    <n v="46.247500000000002"/>
    <n v="9.2495000000000012"/>
    <m/>
    <n v="8.9849040000000002"/>
    <n v="2.2462260000000001"/>
  </r>
  <r>
    <d v="2017-09-22T00:00:00"/>
    <s v="WD"/>
    <s v="Black"/>
    <x v="1"/>
    <x v="0"/>
    <x v="6"/>
    <n v="7200"/>
    <m/>
    <m/>
    <n v="0.33333333333333326"/>
    <n v="194"/>
    <x v="1"/>
    <n v="300000"/>
    <m/>
    <m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</r>
  <r>
    <d v="2017-10-11T00:00:00"/>
    <s v="WD"/>
    <s v="Black"/>
    <x v="1"/>
    <x v="0"/>
    <x v="1"/>
    <n v="7200"/>
    <m/>
    <m/>
    <n v="0.33333333333333326"/>
    <n v="227"/>
    <x v="1"/>
    <n v="300000"/>
    <m/>
    <m/>
    <n v="100000000000000"/>
    <m/>
    <n v="10.6"/>
    <n v="7.6"/>
    <n v="1.6"/>
    <n v="234.99"/>
    <n v="39.164999999999999"/>
    <n v="234.99"/>
    <n v="39.164999999999999"/>
    <n v="7.8330000000000002"/>
    <m/>
    <n v="8.9849040000000002"/>
    <n v="1.497484"/>
  </r>
  <r>
    <d v="2017-09-22T00:00:00"/>
    <s v="WD"/>
    <s v="Black"/>
    <x v="1"/>
    <x v="0"/>
    <x v="2"/>
    <n v="7200"/>
    <m/>
    <m/>
    <n v="0.33333333333333326"/>
    <m/>
    <x v="1"/>
    <n v="300000"/>
    <m/>
    <m/>
    <m/>
    <m/>
    <n v="10.6"/>
    <n v="7.6"/>
    <n v="1.6"/>
    <n v="329.99"/>
    <n v="41.248750000000001"/>
    <n v="329.99"/>
    <n v="41.248750000000001"/>
    <n v="8.2497500000000006"/>
    <m/>
    <n v="8.9849040000000002"/>
    <n v="1.123113"/>
  </r>
  <r>
    <d v="2017-10-10T00:00:00"/>
    <s v="WD"/>
    <s v="Black"/>
    <x v="1"/>
    <x v="1"/>
    <x v="4"/>
    <n v="7200"/>
    <m/>
    <m/>
    <n v="0.33333333333333326"/>
    <m/>
    <x v="1"/>
    <n v="600000"/>
    <m/>
    <m/>
    <n v="100000000000000"/>
    <n v="5.5"/>
    <n v="1.8"/>
    <n v="0.8"/>
    <n v="0.2"/>
    <n v="69.989999999999995"/>
    <n v="69.989999999999995"/>
    <n v="69.989999999999995"/>
    <n v="69.989999999999995"/>
    <n v="13.997999999999999"/>
    <m/>
    <n v="1.09572"/>
    <n v="1.09572"/>
  </r>
  <r>
    <d v="2017-10-11T00:00:00"/>
    <s v="WD"/>
    <s v="Blue"/>
    <x v="1"/>
    <x v="0"/>
    <x v="4"/>
    <n v="5400"/>
    <m/>
    <m/>
    <n v="0"/>
    <n v="150"/>
    <x v="2"/>
    <n v="300000"/>
    <m/>
    <m/>
    <n v="100000000000000"/>
    <m/>
    <m/>
    <m/>
    <m/>
    <n v="49.99"/>
    <n v="49.99"/>
    <n v="66.486699999999999"/>
    <n v="66.486699999999999"/>
    <n v="13.29734"/>
    <m/>
    <m/>
    <m/>
  </r>
  <r>
    <d v="2017-10-11T00:00:00"/>
    <s v="WD"/>
    <s v="Blue"/>
    <x v="1"/>
    <x v="0"/>
    <x v="5"/>
    <n v="5400"/>
    <m/>
    <m/>
    <n v="0"/>
    <n v="147"/>
    <x v="2"/>
    <n v="300000"/>
    <m/>
    <m/>
    <n v="100000000000000"/>
    <n v="20.759999999999998"/>
    <n v="4.0999999999999996"/>
    <n v="3"/>
    <n v="0.4"/>
    <n v="64.209999999999994"/>
    <n v="32.104999999999997"/>
    <n v="85.399299999999997"/>
    <n v="42.699649999999998"/>
    <n v="8.53993"/>
    <m/>
    <n v="3.5282184000000001"/>
    <n v="1.7641092"/>
  </r>
  <r>
    <d v="2017-10-11T00:00:00"/>
    <s v="WD"/>
    <s v="Blue"/>
    <x v="1"/>
    <x v="0"/>
    <x v="12"/>
    <n v="5400"/>
    <m/>
    <m/>
    <n v="0"/>
    <n v="147"/>
    <x v="2"/>
    <n v="300000"/>
    <m/>
    <m/>
    <n v="100000000000000"/>
    <n v="20.759999999999998"/>
    <n v="4.0999999999999996"/>
    <n v="3"/>
    <n v="0.4"/>
    <n v="84.99"/>
    <n v="28.33"/>
    <n v="113.0367"/>
    <n v="37.678899999999999"/>
    <n v="7.5357799999999999"/>
    <m/>
    <n v="3.5282184000000001"/>
    <n v="1.1760728"/>
  </r>
  <r>
    <d v="2017-10-11T00:00:00"/>
    <s v="WD"/>
    <s v="Blue"/>
    <x v="1"/>
    <x v="0"/>
    <x v="0"/>
    <n v="5400"/>
    <m/>
    <m/>
    <n v="0"/>
    <n v="150"/>
    <x v="2"/>
    <n v="300000"/>
    <m/>
    <m/>
    <n v="100000000000000"/>
    <n v="21"/>
    <n v="5.3"/>
    <n v="3.4"/>
    <n v="0.4"/>
    <n v="117.99"/>
    <n v="29.497499999999999"/>
    <n v="156.92669999999998"/>
    <n v="39.231674999999996"/>
    <n v="7.8463349999999989"/>
    <m/>
    <n v="4.1418216000000001"/>
    <n v="1.0354554"/>
  </r>
  <r>
    <d v="2017-08-13T00:00:00"/>
    <s v="WD"/>
    <s v="Blue"/>
    <x v="1"/>
    <x v="0"/>
    <x v="6"/>
    <n v="5400"/>
    <m/>
    <m/>
    <n v="0"/>
    <n v="170"/>
    <x v="2"/>
    <n v="300000"/>
    <m/>
    <m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</r>
  <r>
    <d v="2017-10-11T00:00:00"/>
    <s v="WD"/>
    <s v="Blue"/>
    <x v="1"/>
    <x v="0"/>
    <x v="1"/>
    <n v="5400"/>
    <m/>
    <m/>
    <n v="0"/>
    <n v="175"/>
    <x v="2"/>
    <n v="300000"/>
    <m/>
    <m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</r>
  <r>
    <d v="2017-08-13T00:00:00"/>
    <s v="WD"/>
    <s v="Blue"/>
    <x v="1"/>
    <x v="1"/>
    <x v="4"/>
    <n v="5400"/>
    <m/>
    <m/>
    <n v="0"/>
    <m/>
    <x v="2"/>
    <n v="600000"/>
    <m/>
    <m/>
    <n v="100000000000000"/>
    <n v="5"/>
    <n v="1.5"/>
    <n v="0.5"/>
    <n v="0.1"/>
    <n v="55.99"/>
    <n v="55.99"/>
    <n v="74.466700000000003"/>
    <n v="74.466700000000003"/>
    <n v="14.89334"/>
    <m/>
    <n v="0.76700400000000002"/>
    <n v="0.76700400000000002"/>
  </r>
  <r>
    <d v="2017-08-13T00:00:00"/>
    <s v="WD"/>
    <s v="Blue"/>
    <x v="1"/>
    <x v="1"/>
    <x v="5"/>
    <n v="5400"/>
    <m/>
    <m/>
    <n v="0"/>
    <m/>
    <x v="2"/>
    <n v="600000"/>
    <m/>
    <m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</r>
  <r>
    <d v="2017-10-11T00:00:00"/>
    <s v="WD"/>
    <s v="Gold Enterprise"/>
    <x v="0"/>
    <x v="0"/>
    <x v="4"/>
    <n v="7200"/>
    <m/>
    <m/>
    <n v="0.33333333333333326"/>
    <n v="184"/>
    <x v="1"/>
    <n v="600000"/>
    <n v="550"/>
    <n v="2000000"/>
    <n v="1000000000000000"/>
    <m/>
    <n v="8.1"/>
    <n v="5.9"/>
    <m/>
    <n v="84.99"/>
    <n v="84.99"/>
    <n v="84.99"/>
    <n v="84.99"/>
    <n v="16.997999999999998"/>
    <m/>
    <n v="6.9468648000000002"/>
    <n v="6.9468648000000002"/>
  </r>
  <r>
    <d v="2017-10-11T00:00:00"/>
    <s v="WD"/>
    <s v="Gold Enterprise"/>
    <x v="0"/>
    <x v="0"/>
    <x v="5"/>
    <n v="7200"/>
    <m/>
    <m/>
    <n v="0.33333333333333326"/>
    <n v="200"/>
    <x v="1"/>
    <n v="600000"/>
    <n v="550"/>
    <n v="2000000"/>
    <n v="1000000000000000"/>
    <m/>
    <n v="8.1"/>
    <n v="5.9"/>
    <m/>
    <n v="123.99"/>
    <n v="61.994999999999997"/>
    <n v="123.99"/>
    <n v="61.994999999999997"/>
    <n v="12.398999999999999"/>
    <m/>
    <n v="6.9468648000000002"/>
    <n v="3.4734324000000001"/>
  </r>
  <r>
    <d v="2017-10-11T00:00:00"/>
    <s v="WD"/>
    <s v="Gold Enterprise"/>
    <x v="0"/>
    <x v="0"/>
    <x v="0"/>
    <n v="7200"/>
    <m/>
    <m/>
    <n v="0.33333333333333326"/>
    <n v="201"/>
    <x v="1"/>
    <n v="600000"/>
    <n v="550"/>
    <n v="2000000"/>
    <n v="1000000000000000"/>
    <m/>
    <n v="9"/>
    <n v="7"/>
    <m/>
    <n v="164"/>
    <n v="41"/>
    <n v="164"/>
    <n v="41"/>
    <n v="8.1999999999999993"/>
    <m/>
    <n v="8.1083280000000002"/>
    <n v="2.0270820000000001"/>
  </r>
  <r>
    <d v="2017-10-11T00:00:00"/>
    <s v="WD"/>
    <s v="Gold Enterprise"/>
    <x v="0"/>
    <x v="0"/>
    <x v="1"/>
    <n v="7200"/>
    <m/>
    <m/>
    <n v="0.33333333333333326"/>
    <n v="226"/>
    <x v="1"/>
    <n v="600000"/>
    <n v="550"/>
    <n v="2000000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</r>
  <r>
    <d v="2017-10-11T00:00:00"/>
    <s v="WD"/>
    <s v="Gold Enterprise"/>
    <x v="0"/>
    <x v="0"/>
    <x v="2"/>
    <n v="7200"/>
    <m/>
    <m/>
    <n v="0.33333333333333326"/>
    <n v="205"/>
    <x v="1"/>
    <n v="600000"/>
    <n v="550"/>
    <n v="2500000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</r>
  <r>
    <d v="2017-10-11T00:00:00"/>
    <s v="WD"/>
    <s v="Gold Enterprise"/>
    <x v="0"/>
    <x v="0"/>
    <x v="3"/>
    <n v="7200"/>
    <m/>
    <m/>
    <n v="0.33333333333333326"/>
    <n v="249"/>
    <x v="1"/>
    <n v="600000"/>
    <n v="550"/>
    <n v="2500000"/>
    <n v="1000000000000000"/>
    <m/>
    <n v="7.1"/>
    <n v="5"/>
    <m/>
    <n v="414.99"/>
    <n v="41.499000000000002"/>
    <n v="414.99"/>
    <n v="41.499000000000002"/>
    <n v="8.2998000000000012"/>
    <m/>
    <n v="5.9388024000000001"/>
    <n v="0.59388024000000006"/>
  </r>
  <r>
    <d v="2017-10-11T00:00:00"/>
    <s v="WD"/>
    <s v="Gold Enterprise"/>
    <x v="0"/>
    <x v="0"/>
    <x v="10"/>
    <n v="7200"/>
    <m/>
    <m/>
    <n v="0.33333333333333326"/>
    <n v="255"/>
    <x v="1"/>
    <n v="600000"/>
    <n v="550"/>
    <n v="2500000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</r>
  <r>
    <d v="2017-10-11T00:00:00"/>
    <s v="WD"/>
    <s v="Red NAS"/>
    <x v="0"/>
    <x v="0"/>
    <x v="4"/>
    <n v="5400"/>
    <m/>
    <m/>
    <n v="0"/>
    <n v="150"/>
    <x v="0"/>
    <n v="600000"/>
    <n v="180"/>
    <n v="1000000"/>
    <n v="100000000000000"/>
    <n v="14.399999999999999"/>
    <n v="3.3"/>
    <n v="2.2999999999999998"/>
    <n v="0.4"/>
    <n v="62.99"/>
    <n v="62.99"/>
    <n v="76.847800000000007"/>
    <n v="76.847800000000007"/>
    <n v="15.369560000000002"/>
    <m/>
    <n v="2.7393000000000001"/>
    <n v="2.7393000000000001"/>
  </r>
  <r>
    <d v="2017-10-11T00:00:00"/>
    <s v="WD"/>
    <s v="Red NAS"/>
    <x v="0"/>
    <x v="0"/>
    <x v="5"/>
    <n v="5400"/>
    <m/>
    <m/>
    <n v="0"/>
    <n v="147"/>
    <x v="0"/>
    <n v="600000"/>
    <n v="180"/>
    <n v="100000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</r>
  <r>
    <d v="2017-10-11T00:00:00"/>
    <s v="WD"/>
    <s v="Red NAS"/>
    <x v="0"/>
    <x v="0"/>
    <x v="12"/>
    <n v="5400"/>
    <m/>
    <n v="8.9"/>
    <n v="0"/>
    <n v="147"/>
    <x v="0"/>
    <n v="600000"/>
    <n v="180"/>
    <n v="100000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</r>
  <r>
    <d v="2017-10-03T00:00:00"/>
    <s v="WD"/>
    <s v="Red NAS"/>
    <x v="0"/>
    <x v="0"/>
    <x v="0"/>
    <n v="5400"/>
    <m/>
    <m/>
    <n v="0"/>
    <n v="150"/>
    <x v="0"/>
    <n v="600000"/>
    <n v="180"/>
    <n v="1000000"/>
    <n v="100000000000000"/>
    <n v="21"/>
    <n v="4.5"/>
    <n v="3.3"/>
    <n v="0.4"/>
    <n v="129.99"/>
    <n v="32.497500000000002"/>
    <n v="158.58780000000002"/>
    <n v="39.646950000000004"/>
    <n v="7.9293900000000006"/>
    <m/>
    <n v="3.8788488000000001"/>
    <n v="0.96971220000000002"/>
  </r>
  <r>
    <d v="2017-09-30T00:00:00"/>
    <s v="WD"/>
    <s v="Red NAS"/>
    <x v="0"/>
    <x v="0"/>
    <x v="6"/>
    <n v="5400"/>
    <m/>
    <m/>
    <n v="0"/>
    <m/>
    <x v="0"/>
    <n v="600000"/>
    <n v="180"/>
    <n v="100000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</r>
  <r>
    <d v="2017-10-11T00:00:00"/>
    <s v="WD"/>
    <s v="Red NAS"/>
    <x v="0"/>
    <x v="0"/>
    <x v="1"/>
    <n v="5400"/>
    <m/>
    <m/>
    <n v="0"/>
    <n v="175"/>
    <x v="0"/>
    <n v="600000"/>
    <n v="180"/>
    <n v="1000000"/>
    <n v="100000000000000"/>
    <n v="21"/>
    <n v="5.3"/>
    <n v="3.4"/>
    <n v="0.4"/>
    <n v="217.99"/>
    <n v="36.331666666666671"/>
    <n v="265.94780000000003"/>
    <n v="44.324633333333338"/>
    <n v="8.8649266666666673"/>
    <m/>
    <n v="4.1418216000000001"/>
    <n v="0.69030360000000002"/>
  </r>
  <r>
    <d v="2017-09-30T00:00:00"/>
    <s v="WD"/>
    <s v="Red NAS"/>
    <x v="0"/>
    <x v="0"/>
    <x v="2"/>
    <n v="5400"/>
    <m/>
    <m/>
    <n v="0"/>
    <n v="178"/>
    <x v="0"/>
    <n v="600000"/>
    <n v="180"/>
    <n v="1000000"/>
    <n v="100000000000000"/>
    <n v="21.48"/>
    <n v="6.4"/>
    <n v="5.2"/>
    <n v="0.7"/>
    <n v="259.99"/>
    <n v="32.498750000000001"/>
    <n v="317.18780000000004"/>
    <n v="39.648475000000005"/>
    <n v="7.9296950000000006"/>
    <m/>
    <n v="5.960716800000001"/>
    <n v="0.74508960000000013"/>
  </r>
  <r>
    <d v="2017-10-11T00:00:00"/>
    <s v="WD"/>
    <s v="Red NAS"/>
    <x v="0"/>
    <x v="0"/>
    <x v="3"/>
    <n v="5400"/>
    <m/>
    <m/>
    <n v="0"/>
    <n v="210"/>
    <x v="0"/>
    <n v="600000"/>
    <n v="180"/>
    <n v="1000000"/>
    <n v="100000000000000"/>
    <n v="21.48"/>
    <n v="5.7"/>
    <n v="2.8"/>
    <n v="0.5"/>
    <n v="379.99"/>
    <n v="37.999000000000002"/>
    <n v="463.58780000000002"/>
    <n v="46.358780000000003"/>
    <n v="9.2717559999999999"/>
    <m/>
    <n v="3.7035336000000001"/>
    <n v="0.37035336000000002"/>
  </r>
  <r>
    <d v="2017-08-14T00:00:00"/>
    <s v="WD"/>
    <s v="Red NAS"/>
    <x v="0"/>
    <x v="1"/>
    <x v="15"/>
    <n v="5400"/>
    <m/>
    <m/>
    <n v="0"/>
    <n v="144"/>
    <x v="0"/>
    <n v="600000"/>
    <n v="180"/>
    <n v="100000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</r>
  <r>
    <d v="2017-08-14T00:00:00"/>
    <s v="WD"/>
    <s v="Red NAS"/>
    <x v="0"/>
    <x v="1"/>
    <x v="4"/>
    <n v="5400"/>
    <m/>
    <m/>
    <n v="0"/>
    <n v="144"/>
    <x v="0"/>
    <n v="600000"/>
    <n v="180"/>
    <n v="100000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</r>
  <r>
    <d v="2017-10-11T00:00:00"/>
    <s v="WD"/>
    <s v="RED NAS Pro"/>
    <x v="0"/>
    <x v="0"/>
    <x v="5"/>
    <n v="7200"/>
    <m/>
    <m/>
    <n v="0.33333333333333326"/>
    <n v="164"/>
    <x v="1"/>
    <n v="600000"/>
    <n v="300"/>
    <n v="100000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</r>
  <r>
    <d v="2017-09-23T00:00:00"/>
    <s v="WD"/>
    <s v="RED NAS Pro"/>
    <x v="0"/>
    <x v="0"/>
    <x v="12"/>
    <n v="7200"/>
    <m/>
    <m/>
    <n v="0.33333333333333326"/>
    <m/>
    <x v="1"/>
    <n v="600000"/>
    <n v="300"/>
    <n v="1000000"/>
    <n v="1000000000000000"/>
    <n v="22.799999999999997"/>
    <n v="8.6"/>
    <n v="6.5"/>
    <n v="0.6"/>
    <n v="209.99"/>
    <n v="69.99666666666667"/>
    <n v="209.99"/>
    <n v="69.99666666666667"/>
    <n v="13.999333333333334"/>
    <m/>
    <n v="7.5823824000000002"/>
    <n v="2.5274608000000001"/>
  </r>
  <r>
    <d v="2017-10-11T00:00:00"/>
    <s v="WD"/>
    <s v="RED NAS Pro"/>
    <x v="0"/>
    <x v="0"/>
    <x v="0"/>
    <n v="7200"/>
    <m/>
    <m/>
    <n v="0.33333333333333326"/>
    <n v="202"/>
    <x v="1"/>
    <n v="600000"/>
    <n v="300"/>
    <n v="1000000"/>
    <n v="1000000000000000"/>
    <n v="21.48"/>
    <n v="9.1"/>
    <n v="7.1"/>
    <n v="1"/>
    <n v="174.99"/>
    <n v="43.747500000000002"/>
    <n v="174.99"/>
    <n v="43.747500000000002"/>
    <n v="8.7495000000000012"/>
    <m/>
    <n v="8.2179000000000002"/>
    <n v="2.0544750000000001"/>
  </r>
  <r>
    <d v="2017-04-17T00:00:00"/>
    <s v="WD"/>
    <s v="RED NAS Pro"/>
    <x v="0"/>
    <x v="0"/>
    <x v="6"/>
    <n v="7200"/>
    <m/>
    <m/>
    <n v="0.33333333333333326"/>
    <m/>
    <x v="1"/>
    <n v="600000"/>
    <n v="300"/>
    <n v="1000000"/>
    <n v="1000000000000000"/>
    <n v="22.799999999999997"/>
    <n v="10.6"/>
    <n v="7.4"/>
    <n v="1.6"/>
    <n v="259.99"/>
    <n v="51.998000000000005"/>
    <n v="259.99"/>
    <n v="51.998000000000005"/>
    <n v="10.399600000000001"/>
    <m/>
    <n v="8.8095888000000002"/>
    <n v="1.76191776"/>
  </r>
  <r>
    <d v="2017-10-11T00:00:00"/>
    <s v="WD"/>
    <s v="RED NAS Pro"/>
    <x v="0"/>
    <x v="0"/>
    <x v="1"/>
    <n v="7200"/>
    <m/>
    <m/>
    <n v="0.33333333333333326"/>
    <n v="227"/>
    <x v="1"/>
    <n v="600000"/>
    <n v="300"/>
    <n v="1000000"/>
    <n v="1000000000000000"/>
    <n v="21.48"/>
    <n v="9.1"/>
    <n v="7.1"/>
    <n v="1"/>
    <n v="235.99"/>
    <n v="39.331666666666671"/>
    <n v="235.99"/>
    <n v="39.331666666666671"/>
    <n v="7.8663333333333343"/>
    <m/>
    <n v="8.2179000000000002"/>
    <n v="1.36965"/>
  </r>
  <r>
    <d v="2017-10-11T00:00:00"/>
    <s v="WD"/>
    <s v="RED NAS Pro"/>
    <x v="0"/>
    <x v="0"/>
    <x v="2"/>
    <n v="7200"/>
    <m/>
    <m/>
    <n v="0.33333333333333326"/>
    <n v="205"/>
    <x v="1"/>
    <n v="600000"/>
    <n v="300"/>
    <n v="1000000"/>
    <n v="1000000000000000"/>
    <n v="21.48"/>
    <n v="8.3000000000000007"/>
    <n v="5.2"/>
    <n v="1"/>
    <n v="328"/>
    <n v="41"/>
    <n v="328"/>
    <n v="41"/>
    <n v="8.1999999999999993"/>
    <m/>
    <n v="6.377090400000001"/>
    <n v="0.79713630000000013"/>
  </r>
  <r>
    <d v="2017-10-11T00:00:00"/>
    <s v="WD"/>
    <s v="RED NAS Pro"/>
    <x v="0"/>
    <x v="0"/>
    <x v="3"/>
    <n v="7200"/>
    <m/>
    <m/>
    <n v="0.33333333333333326"/>
    <n v="240"/>
    <x v="1"/>
    <n v="600000"/>
    <n v="300"/>
    <n v="1000000"/>
    <n v="1000000000000000"/>
    <n v="21.6"/>
    <n v="5.7"/>
    <n v="2.8"/>
    <n v="0.5"/>
    <n v="440.77"/>
    <n v="44.076999999999998"/>
    <n v="440.77"/>
    <n v="44.076999999999998"/>
    <n v="8.8154000000000003"/>
    <m/>
    <n v="3.7035336000000001"/>
    <n v="0.37035336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3" colPageCount="1"/>
  <pivotFields count="29">
    <pivotField numFmtId="14"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8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axis="axisPage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showAll="0"/>
    <pivotField showAll="0"/>
    <pivotField showAl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Average of Energy$year" fld="26" subtotal="average" baseField="0" baseItem="0" numFmtId="169"/>
  </dataFields>
  <formats count="8">
    <format dxfId="55">
      <pivotArea dataOnly="0" labelOnly="1" fieldPosition="0">
        <references count="1">
          <reference field="5" count="0"/>
        </references>
      </pivotArea>
    </format>
    <format dxfId="54">
      <pivotArea outline="0" collapsedLevelsAreSubtotals="1" fieldPosition="0"/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field="5" type="button" dataOnly="0" labelOnly="1" outline="0" axis="axisRow" fieldPosition="0"/>
    </format>
    <format dxfId="50">
      <pivotArea dataOnly="0" labelOnly="1" outline="0" axis="axisValues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">
  <location ref="A78:C95" firstHeaderRow="1" firstDataRow="1" firstDataCol="0"/>
  <pivotFields count="29">
    <pivotField numFmtId="14" showAll="0"/>
    <pivotField showAll="0"/>
    <pivotField showAll="0"/>
    <pivotField showAll="0"/>
    <pivotField numFmtId="2" showAll="0"/>
    <pivotField numFmtId="2" showAll="0"/>
    <pivotField numFmtId="3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4">
  <location ref="A60:B67" firstHeaderRow="1" firstDataRow="1" firstDataCol="1" rowPageCount="3" colPageCount="1"/>
  <pivotFields count="29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axis="axisPage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7">
    <i>
      <x v="3"/>
    </i>
    <i r="1">
      <x/>
    </i>
    <i r="1">
      <x v="1"/>
    </i>
    <i r="1">
      <x v="3"/>
    </i>
    <i>
      <x v="7"/>
    </i>
    <i r="1">
      <x v="1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Average of $PerTB" fld="23" subtotal="average" baseField="6" baseItem="0" numFmtId="164"/>
  </dataFields>
  <formats count="1">
    <format dxfId="56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3" colPageCount="1"/>
  <pivotFields count="29">
    <pivotField numFmtId="14" subtotalTop="0" showAll="0"/>
    <pivotField subtotalTop="0" showAll="0"/>
    <pivotField subtotalTop="0" showAll="0"/>
    <pivotField axis="axisPage" subtotalTop="0" showAll="0">
      <items count="3">
        <item x="0"/>
        <item x="1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8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axis="axisPage" subtotalTop="0" showAll="0">
      <items count="4">
        <item x="2"/>
        <item x="0"/>
        <item x="1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  <pivotField subtotalTop="0" showAll="0"/>
    <pivotField dataField="1" subtotalTop="0" showAll="0"/>
    <pivotField subtotalTop="0" showAl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Cost per TB per year" fld="27" subtotal="average" baseField="4" baseItem="0" numFmtId="169"/>
  </dataFields>
  <formats count="12">
    <format dxfId="68">
      <pivotArea outline="0" collapsedLevelsAreSubtotals="1" fieldPosition="0"/>
    </format>
    <format dxfId="67">
      <pivotArea collapsedLevelsAreSubtotals="1" fieldPosition="0">
        <references count="1">
          <reference field="5" count="1">
            <x v="7"/>
          </reference>
        </references>
      </pivotArea>
    </format>
    <format dxfId="66">
      <pivotArea outline="0" collapsedLevelsAreSubtotals="1" fieldPosition="0"/>
    </format>
    <format dxfId="65">
      <pivotArea outline="0" collapsedLevelsAreSubtotals="1" fieldPosition="0"/>
    </format>
    <format dxfId="64">
      <pivotArea dataOnly="0" labelOnly="1" fieldPosition="0">
        <references count="1">
          <reference field="5" count="0"/>
        </references>
      </pivotArea>
    </format>
    <format dxfId="63">
      <pivotArea dataOnly="0" labelOnly="1" fieldPosition="0">
        <references count="1">
          <reference field="5" count="0"/>
        </references>
      </pivotArea>
    </format>
    <format dxfId="62">
      <pivotArea type="all" dataOnly="0" outline="0" fieldPosition="0"/>
    </format>
    <format dxfId="61">
      <pivotArea outline="0" collapsedLevelsAreSubtotals="1" fieldPosition="0"/>
    </format>
    <format dxfId="60">
      <pivotArea field="5" type="button" dataOnly="0" labelOnly="1" outline="0" axis="axisRow" fieldPosition="0"/>
    </format>
    <format dxfId="59">
      <pivotArea dataOnly="0" labelOnly="1" outline="0" axis="axisValues" fieldPosition="0"/>
    </format>
    <format dxfId="58">
      <pivotArea dataOnly="0" labelOnly="1" fieldPosition="0">
        <references count="1">
          <reference field="5" count="0"/>
        </references>
      </pivotArea>
    </format>
    <format dxfId="5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15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3">
  <location ref="A5:B16" firstHeaderRow="1" firstDataRow="1" firstDataCol="1" rowPageCount="3" colPageCount="1"/>
  <pivotFields count="28">
    <pivotField numFmtId="14" showAl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7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axis="axisPage" showAll="0" defaultSubtotal="0">
      <items count="3">
        <item x="2"/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  <pivotField showAll="0" defaultSubtotal="0"/>
    <pivotField showAll="0" defaultSubtotal="0"/>
    <pivotField showAll="0" defaultSubtota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Average of $ TB/year" fld="24" subtotal="average" baseField="0" baseItem="0" numFmtId="164"/>
  </dataFields>
  <formats count="6">
    <format dxfId="74">
      <pivotArea outline="0" collapsedLevelsAreSubtotals="1" fieldPosition="0"/>
    </format>
    <format dxfId="73">
      <pivotArea dataOnly="0" labelOnly="1" fieldPosition="0">
        <references count="1">
          <reference field="5" count="0"/>
        </references>
      </pivotArea>
    </format>
    <format dxfId="72">
      <pivotArea type="all" dataOnly="0" outline="0" fieldPosition="0"/>
    </format>
    <format dxfId="71">
      <pivotArea field="5" type="button" dataOnly="0" labelOnly="1" outline="0" axis="axisRow" fieldPosition="0"/>
    </format>
    <format dxfId="70">
      <pivotArea dataOnly="0" labelOnly="1" outline="0" axis="axisValues" fieldPosition="0"/>
    </format>
    <format dxfId="6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C125" totalsRowShown="0" headerRowDxfId="103" headerRowBorderDxfId="102" tableBorderDxfId="101">
  <autoFilter ref="A2:AC125"/>
  <sortState ref="A3:V96">
    <sortCondition ref="B3:B96"/>
    <sortCondition ref="C3:C96"/>
    <sortCondition ref="F3:F96"/>
    <sortCondition ref="G3:G96"/>
  </sortState>
  <tableColumns count="29">
    <tableColumn id="1" name="Date" dataDxfId="100"/>
    <tableColumn id="2" name="Manu"/>
    <tableColumn id="3" name="Model" dataDxfId="99"/>
    <tableColumn id="21" name="Type" dataDxfId="98"/>
    <tableColumn id="29" name="FormFactor" dataDxfId="97"/>
    <tableColumn id="5" name="SizTB" dataDxfId="96"/>
    <tableColumn id="4" name="RPM" dataDxfId="95"/>
    <tableColumn id="27" name="AvgLatency" dataDxfId="94"/>
    <tableColumn id="28" name="SeekT" dataDxfId="93"/>
    <tableColumn id="6" name="PerfCmp" dataDxfId="92">
      <calculatedColumnFormula>(Table5[[#This Row],[RPM]]/5400-1)</calculatedColumnFormula>
    </tableColumn>
    <tableColumn id="26" name="XferRate" dataDxfId="91"/>
    <tableColumn id="7" name="Warnty"/>
    <tableColumn id="22" name="CycleCnt" dataDxfId="90"/>
    <tableColumn id="23" name="WorkLoad"/>
    <tableColumn id="24" name="MTBF" dataDxfId="89"/>
    <tableColumn id="25" name="RErrRate" dataDxfId="88"/>
    <tableColumn id="18" name="MaxStartupWatts" dataDxfId="87"/>
    <tableColumn id="8" name="Watts Active" dataDxfId="86"/>
    <tableColumn id="9" name="Watts Idle" dataDxfId="85"/>
    <tableColumn id="10" name="WattsStandby" dataDxfId="84"/>
    <tableColumn id="11" name="Cost" dataDxfId="83"/>
    <tableColumn id="12" name="$ TB" dataDxfId="82">
      <calculatedColumnFormula>Table5[[#This Row],[Cost]]/Table5[[#This Row],[SizTB]]</calculatedColumnFormula>
    </tableColumn>
    <tableColumn id="13" name="$+Warr" dataDxfId="81">
      <calculatedColumnFormula>Table5[[#This Row],[Cost]]+((CompareWarrYrs-Table5[[#This Row],[Warnty]])*(Incremental_Warr_Yr*Table5[[#This Row],[Cost]]))</calculatedColumnFormula>
    </tableColumn>
    <tableColumn id="14" name="$PerTB" dataDxfId="80">
      <calculatedColumnFormula>Table5[[#This Row],[$+Warr]]/Table5[[#This Row],[SizTB]]</calculatedColumnFormula>
    </tableColumn>
    <tableColumn id="15" name="$ TB/year" dataDxfId="79">
      <calculatedColumnFormula>Table5[[#This Row],[$PerTB]]/CompareWarrYrs</calculatedColumnFormula>
    </tableColumn>
    <tableColumn id="16" name="Comp $/Perf/Size" dataDxfId="78"/>
    <tableColumn id="17" name="Energy$year" dataDxfId="77">
      <calculatedColumnFormula>((30/(1000/R3/24)*$G$137)+(30/(1000/S3/24)*(100%-$G$137)))*$G$136*12</calculatedColumnFormula>
    </tableColumn>
    <tableColumn id="20" name="Energy$yearPerTB" dataDxfId="76">
      <calculatedColumnFormula>Table5[[#This Row],[Energy$year]]/Table5[[#This Row],[SizTB]]</calculatedColumnFormula>
    </tableColumn>
    <tableColumn id="19" name="Notes" dataDxfId="75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hgst.com/products/hard-drives/nas-desktop-drive-kit" TargetMode="External"/><Relationship Id="rId7" Type="http://schemas.openxmlformats.org/officeDocument/2006/relationships/hyperlink" Target="https://www.hgst.com/products/hard-drives/ultrastar-7k6000" TargetMode="External"/><Relationship Id="rId12" Type="http://schemas.openxmlformats.org/officeDocument/2006/relationships/comments" Target="../comments1.xml"/><Relationship Id="rId2" Type="http://schemas.openxmlformats.org/officeDocument/2006/relationships/hyperlink" Target="https://www.hgst.com/products/hard-drives/nas-desktop-drive-kit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1" Type="http://schemas.openxmlformats.org/officeDocument/2006/relationships/table" Target="../tables/table1.xml"/><Relationship Id="rId5" Type="http://schemas.openxmlformats.org/officeDocument/2006/relationships/hyperlink" Target="https://www.hgst.com/products/hard-drives/ultrastar-c10k1800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46"/>
  <sheetViews>
    <sheetView tabSelected="1" topLeftCell="H1" zoomScale="96" zoomScaleNormal="96" workbookViewId="0">
      <pane ySplit="2" topLeftCell="A3" activePane="bottomLeft" state="frozen"/>
      <selection pane="bottomLeft" activeCell="A125" sqref="A125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2" width="10.42578125" customWidth="1"/>
    <col min="23" max="23" width="9" bestFit="1" customWidth="1"/>
    <col min="24" max="24" width="10.42578125" style="3" customWidth="1"/>
    <col min="25" max="25" width="9.42578125" style="3" customWidth="1"/>
    <col min="26" max="26" width="11.42578125" style="3" customWidth="1"/>
    <col min="27" max="27" width="10.140625" customWidth="1"/>
    <col min="28" max="28" width="8.85546875" customWidth="1"/>
    <col min="29" max="30" width="26.42578125" customWidth="1"/>
  </cols>
  <sheetData>
    <row r="1" spans="1:29" ht="15.75" thickBot="1" x14ac:dyDescent="0.3">
      <c r="A1" s="176" t="s">
        <v>111</v>
      </c>
      <c r="B1" s="177"/>
      <c r="C1" s="177"/>
      <c r="D1" s="177"/>
      <c r="E1" s="177"/>
      <c r="F1" s="178"/>
      <c r="G1" s="170" t="s">
        <v>78</v>
      </c>
      <c r="H1" s="171"/>
      <c r="I1" s="171"/>
      <c r="J1" s="171"/>
      <c r="K1" s="172"/>
      <c r="L1" s="187" t="s">
        <v>101</v>
      </c>
      <c r="M1" s="188"/>
      <c r="N1" s="188"/>
      <c r="O1" s="188"/>
      <c r="P1" s="189"/>
      <c r="Q1" s="173" t="s">
        <v>80</v>
      </c>
      <c r="R1" s="174"/>
      <c r="S1" s="174"/>
      <c r="T1" s="175"/>
      <c r="U1" s="185" t="s">
        <v>38</v>
      </c>
      <c r="V1" s="186"/>
      <c r="W1" s="183" t="s">
        <v>42</v>
      </c>
      <c r="X1" s="184"/>
      <c r="Y1" s="184"/>
      <c r="Z1" s="44" t="s">
        <v>34</v>
      </c>
      <c r="AA1" s="164" t="s">
        <v>55</v>
      </c>
      <c r="AB1" s="165"/>
      <c r="AC1" s="45"/>
    </row>
    <row r="2" spans="1:29" s="2" customFormat="1" ht="15.75" thickBot="1" x14ac:dyDescent="0.3">
      <c r="A2" s="8" t="s">
        <v>0</v>
      </c>
      <c r="B2" s="8" t="s">
        <v>1</v>
      </c>
      <c r="C2" s="8" t="s">
        <v>4</v>
      </c>
      <c r="D2" s="40" t="s">
        <v>56</v>
      </c>
      <c r="E2" s="9" t="s">
        <v>105</v>
      </c>
      <c r="F2" s="9" t="s">
        <v>29</v>
      </c>
      <c r="G2" s="84" t="s">
        <v>7</v>
      </c>
      <c r="H2" s="9" t="s">
        <v>75</v>
      </c>
      <c r="I2" s="9" t="s">
        <v>77</v>
      </c>
      <c r="J2" s="41" t="s">
        <v>72</v>
      </c>
      <c r="K2" s="85" t="s">
        <v>71</v>
      </c>
      <c r="L2" s="41" t="s">
        <v>28</v>
      </c>
      <c r="M2" s="30" t="s">
        <v>70</v>
      </c>
      <c r="N2" s="30" t="s">
        <v>69</v>
      </c>
      <c r="O2" s="30" t="s">
        <v>67</v>
      </c>
      <c r="P2" s="40" t="s">
        <v>68</v>
      </c>
      <c r="Q2" s="42" t="s">
        <v>41</v>
      </c>
      <c r="R2" s="30" t="s">
        <v>8</v>
      </c>
      <c r="S2" s="30" t="s">
        <v>9</v>
      </c>
      <c r="T2" s="43" t="s">
        <v>35</v>
      </c>
      <c r="U2" s="41" t="s">
        <v>2</v>
      </c>
      <c r="V2" s="43" t="s">
        <v>3</v>
      </c>
      <c r="W2" s="42" t="s">
        <v>37</v>
      </c>
      <c r="X2" s="30" t="s">
        <v>54</v>
      </c>
      <c r="Y2" s="43" t="s">
        <v>21</v>
      </c>
      <c r="Z2" s="41" t="s">
        <v>36</v>
      </c>
      <c r="AA2" s="30" t="s">
        <v>23</v>
      </c>
      <c r="AB2" s="30" t="s">
        <v>53</v>
      </c>
      <c r="AC2" s="14" t="s">
        <v>46</v>
      </c>
    </row>
    <row r="3" spans="1:29" ht="15.75" thickTop="1" x14ac:dyDescent="0.25">
      <c r="A3" s="1">
        <v>43019</v>
      </c>
      <c r="B3" t="s">
        <v>15</v>
      </c>
      <c r="C3" s="163" t="s">
        <v>16</v>
      </c>
      <c r="D3" s="37" t="s">
        <v>57</v>
      </c>
      <c r="E3" s="134">
        <v>3.5</v>
      </c>
      <c r="F3" s="119">
        <v>4</v>
      </c>
      <c r="G3" s="52">
        <v>7200</v>
      </c>
      <c r="H3" s="5"/>
      <c r="I3" s="5">
        <v>11.99</v>
      </c>
      <c r="J3" s="86">
        <f>(Table5[[#This Row],[RPM]]/5400-1)</f>
        <v>0.33333333333333326</v>
      </c>
      <c r="K3" s="55">
        <v>202</v>
      </c>
      <c r="L3">
        <v>3</v>
      </c>
      <c r="M3" s="47">
        <v>600000</v>
      </c>
      <c r="O3" s="47">
        <v>1000000</v>
      </c>
      <c r="P3" s="46">
        <f t="shared" ref="P3:P6" si="0">10^14</f>
        <v>100000000000000</v>
      </c>
      <c r="Q3" s="74">
        <f t="shared" ref="Q3:Q6" si="1">1.2*5+2*12</f>
        <v>30</v>
      </c>
      <c r="R3" s="5"/>
      <c r="S3" s="5">
        <v>7.3</v>
      </c>
      <c r="T3" s="75"/>
      <c r="U3" s="70">
        <v>133.99</v>
      </c>
      <c r="V3" s="10">
        <f>Table5[[#This Row],[Cost]]/Table5[[#This Row],[SizTB]]</f>
        <v>33.497500000000002</v>
      </c>
      <c r="W3" s="11">
        <f>Table5[[#This Row],[Cost]]+((CompareWarrYrs-Table5[[#This Row],[Warnty]])*(Incremental_Warr_Yr*Table5[[#This Row],[Cost]]))</f>
        <v>163.46780000000001</v>
      </c>
      <c r="X3" s="6">
        <f>Table5[[#This Row],[$+Warr]]/Table5[[#This Row],[SizTB]]</f>
        <v>40.866950000000003</v>
      </c>
      <c r="Y3" s="10">
        <f>Table5[[#This Row],[$PerTB]]/CompareWarrYrs</f>
        <v>8.1733900000000013</v>
      </c>
      <c r="Z3" s="7"/>
      <c r="AA3" s="58"/>
      <c r="AB3" s="59"/>
      <c r="AC3" s="117" t="s">
        <v>96</v>
      </c>
    </row>
    <row r="4" spans="1:29" x14ac:dyDescent="0.25">
      <c r="A4" s="1">
        <v>43019</v>
      </c>
      <c r="B4" t="s">
        <v>15</v>
      </c>
      <c r="C4" s="163" t="s">
        <v>16</v>
      </c>
      <c r="D4" s="37" t="s">
        <v>57</v>
      </c>
      <c r="E4" s="134">
        <v>3.5</v>
      </c>
      <c r="F4" s="119">
        <v>6</v>
      </c>
      <c r="G4" s="53">
        <v>7200</v>
      </c>
      <c r="H4" s="5"/>
      <c r="I4" s="5">
        <v>11.99</v>
      </c>
      <c r="J4" s="86">
        <f>(Table5[[#This Row],[RPM]]/5400-1)</f>
        <v>0.33333333333333326</v>
      </c>
      <c r="K4" s="56">
        <v>227</v>
      </c>
      <c r="L4">
        <v>3</v>
      </c>
      <c r="M4" s="47">
        <v>600000</v>
      </c>
      <c r="O4" s="47">
        <v>1000000</v>
      </c>
      <c r="P4" s="46">
        <f t="shared" si="0"/>
        <v>100000000000000</v>
      </c>
      <c r="Q4" s="74">
        <f t="shared" si="1"/>
        <v>30</v>
      </c>
      <c r="R4" s="5"/>
      <c r="S4" s="5">
        <v>7.3</v>
      </c>
      <c r="T4" s="75"/>
      <c r="U4" s="70">
        <v>194.99</v>
      </c>
      <c r="V4" s="10">
        <f>Table5[[#This Row],[Cost]]/Table5[[#This Row],[SizTB]]</f>
        <v>32.498333333333335</v>
      </c>
      <c r="W4" s="11">
        <f>Table5[[#This Row],[Cost]]+((CompareWarrYrs-Table5[[#This Row],[Warnty]])*(Incremental_Warr_Yr*Table5[[#This Row],[Cost]]))</f>
        <v>237.88780000000003</v>
      </c>
      <c r="X4" s="6">
        <f>Table5[[#This Row],[$+Warr]]/Table5[[#This Row],[SizTB]]</f>
        <v>39.647966666666669</v>
      </c>
      <c r="Y4" s="10">
        <f>Table5[[#This Row],[$PerTB]]/CompareWarrYrs</f>
        <v>7.9295933333333339</v>
      </c>
      <c r="Z4" s="7"/>
      <c r="AA4" s="60"/>
      <c r="AB4" s="59"/>
      <c r="AC4" s="118" t="s">
        <v>90</v>
      </c>
    </row>
    <row r="5" spans="1:29" x14ac:dyDescent="0.25">
      <c r="A5" s="1">
        <v>43019</v>
      </c>
      <c r="B5" t="s">
        <v>15</v>
      </c>
      <c r="C5" s="163" t="s">
        <v>16</v>
      </c>
      <c r="D5" s="37" t="s">
        <v>57</v>
      </c>
      <c r="E5" s="134">
        <v>3.5</v>
      </c>
      <c r="F5" s="119">
        <v>8</v>
      </c>
      <c r="G5" s="53">
        <v>7200</v>
      </c>
      <c r="H5" s="5"/>
      <c r="I5" s="5">
        <v>11.99</v>
      </c>
      <c r="J5" s="86">
        <f>(Table5[[#This Row],[RPM]]/5400-1)</f>
        <v>0.33333333333333326</v>
      </c>
      <c r="K5" s="56">
        <v>205</v>
      </c>
      <c r="L5">
        <v>3</v>
      </c>
      <c r="M5" s="47">
        <v>600000</v>
      </c>
      <c r="O5" s="47">
        <v>1000000</v>
      </c>
      <c r="P5" s="46">
        <f t="shared" si="0"/>
        <v>100000000000000</v>
      </c>
      <c r="Q5" s="74">
        <f t="shared" si="1"/>
        <v>30</v>
      </c>
      <c r="R5" s="5"/>
      <c r="S5" s="5">
        <v>5.0999999999999996</v>
      </c>
      <c r="T5" s="75"/>
      <c r="U5" s="70">
        <v>279.99</v>
      </c>
      <c r="V5" s="10">
        <f>Table5[[#This Row],[Cost]]/Table5[[#This Row],[SizTB]]</f>
        <v>34.998750000000001</v>
      </c>
      <c r="W5" s="11">
        <f>Table5[[#This Row],[Cost]]+((CompareWarrYrs-Table5[[#This Row],[Warnty]])*(Incremental_Warr_Yr*Table5[[#This Row],[Cost]]))</f>
        <v>341.58780000000002</v>
      </c>
      <c r="X5" s="6">
        <f>Table5[[#This Row],[$+Warr]]/Table5[[#This Row],[SizTB]]</f>
        <v>42.698475000000002</v>
      </c>
      <c r="Y5" s="10">
        <f>Table5[[#This Row],[$PerTB]]/CompareWarrYrs</f>
        <v>8.539695</v>
      </c>
      <c r="Z5" s="7"/>
      <c r="AA5" s="60"/>
      <c r="AB5" s="59"/>
      <c r="AC5" s="51"/>
    </row>
    <row r="6" spans="1:29" x14ac:dyDescent="0.25">
      <c r="A6" s="1">
        <v>43019</v>
      </c>
      <c r="B6" t="s">
        <v>15</v>
      </c>
      <c r="C6" s="163" t="s">
        <v>16</v>
      </c>
      <c r="D6" s="37" t="s">
        <v>57</v>
      </c>
      <c r="E6" s="134">
        <v>3.5</v>
      </c>
      <c r="F6" s="119">
        <v>10</v>
      </c>
      <c r="G6" s="53">
        <v>7200</v>
      </c>
      <c r="H6" s="5"/>
      <c r="I6" s="5">
        <v>11.99</v>
      </c>
      <c r="J6" s="86">
        <f>(Table5[[#This Row],[RPM]]/5400-1)</f>
        <v>0.33333333333333326</v>
      </c>
      <c r="K6" s="56">
        <v>240</v>
      </c>
      <c r="L6">
        <v>3</v>
      </c>
      <c r="M6" s="47">
        <v>600000</v>
      </c>
      <c r="O6" s="47">
        <v>1000000</v>
      </c>
      <c r="P6" s="46">
        <f t="shared" si="0"/>
        <v>100000000000000</v>
      </c>
      <c r="Q6" s="74">
        <f t="shared" si="1"/>
        <v>30</v>
      </c>
      <c r="R6" s="5"/>
      <c r="S6" s="5">
        <v>5.0999999999999996</v>
      </c>
      <c r="T6" s="75"/>
      <c r="U6" s="70">
        <v>349.99</v>
      </c>
      <c r="V6" s="10">
        <f>Table5[[#This Row],[Cost]]/Table5[[#This Row],[SizTB]]</f>
        <v>34.999000000000002</v>
      </c>
      <c r="W6" s="11">
        <f>Table5[[#This Row],[Cost]]+((CompareWarrYrs-Table5[[#This Row],[Warnty]])*(Incremental_Warr_Yr*Table5[[#This Row],[Cost]]))</f>
        <v>426.98779999999999</v>
      </c>
      <c r="X6" s="6">
        <f>Table5[[#This Row],[$+Warr]]/Table5[[#This Row],[SizTB]]</f>
        <v>42.698779999999999</v>
      </c>
      <c r="Y6" s="10">
        <f>Table5[[#This Row],[$PerTB]]/CompareWarrYrs</f>
        <v>8.5397560000000006</v>
      </c>
      <c r="Z6" s="7"/>
      <c r="AA6" s="60"/>
      <c r="AB6" s="59"/>
      <c r="AC6" s="51"/>
    </row>
    <row r="7" spans="1:29" x14ac:dyDescent="0.25">
      <c r="A7" s="1">
        <v>43005</v>
      </c>
      <c r="B7" t="s">
        <v>15</v>
      </c>
      <c r="C7" s="122" t="s">
        <v>110</v>
      </c>
      <c r="D7" s="37"/>
      <c r="E7" s="134">
        <v>2.5</v>
      </c>
      <c r="F7" s="119">
        <v>1</v>
      </c>
      <c r="G7" s="53">
        <v>5400</v>
      </c>
      <c r="H7" s="5">
        <v>5.5</v>
      </c>
      <c r="I7" s="5">
        <v>12</v>
      </c>
      <c r="J7" s="86">
        <f>(Table5[[#This Row],[RPM]]/5400-1)</f>
        <v>0</v>
      </c>
      <c r="K7" s="56">
        <v>99</v>
      </c>
      <c r="L7">
        <v>3</v>
      </c>
      <c r="M7" s="47">
        <v>600000</v>
      </c>
      <c r="O7" s="47"/>
      <c r="P7" s="46"/>
      <c r="Q7" s="74">
        <v>4.5</v>
      </c>
      <c r="R7" s="5">
        <v>1.6</v>
      </c>
      <c r="S7" s="5">
        <v>0.8</v>
      </c>
      <c r="T7" s="75">
        <v>0.2</v>
      </c>
      <c r="U7" s="70">
        <v>49.99</v>
      </c>
      <c r="V7" s="10">
        <f>Table5[[#This Row],[Cost]]/Table5[[#This Row],[SizTB]]</f>
        <v>49.99</v>
      </c>
      <c r="W7" s="11">
        <f>Table5[[#This Row],[Cost]]+((CompareWarrYrs-Table5[[#This Row],[Warnty]])*(Incremental_Warr_Yr*Table5[[#This Row],[Cost]]))</f>
        <v>60.9878</v>
      </c>
      <c r="X7" s="6">
        <f>Table5[[#This Row],[$+Warr]]/Table5[[#This Row],[SizTB]]</f>
        <v>60.9878</v>
      </c>
      <c r="Y7" s="10">
        <f>Table5[[#This Row],[$PerTB]]/CompareWarrYrs</f>
        <v>12.197559999999999</v>
      </c>
      <c r="Z7" s="7"/>
      <c r="AA7" s="58"/>
      <c r="AB7" s="59"/>
      <c r="AC7" s="51"/>
    </row>
    <row r="8" spans="1:29" x14ac:dyDescent="0.25">
      <c r="A8" s="1">
        <v>43005</v>
      </c>
      <c r="B8" t="s">
        <v>15</v>
      </c>
      <c r="C8" s="122" t="s">
        <v>109</v>
      </c>
      <c r="D8" s="37"/>
      <c r="E8" s="134">
        <v>2.5</v>
      </c>
      <c r="F8" s="119">
        <v>1</v>
      </c>
      <c r="G8" s="53">
        <v>7200</v>
      </c>
      <c r="H8" s="5">
        <v>4.2</v>
      </c>
      <c r="I8" s="5">
        <v>12</v>
      </c>
      <c r="J8" s="86">
        <f>(Table5[[#This Row],[RPM]]/5400-1)</f>
        <v>0.33333333333333326</v>
      </c>
      <c r="K8" s="56">
        <v>128</v>
      </c>
      <c r="L8">
        <v>3</v>
      </c>
      <c r="M8" s="47">
        <v>600000</v>
      </c>
      <c r="O8" s="47"/>
      <c r="P8" s="46"/>
      <c r="Q8" s="74">
        <v>5.5</v>
      </c>
      <c r="R8" s="5">
        <v>1.8</v>
      </c>
      <c r="S8" s="5">
        <v>1</v>
      </c>
      <c r="T8" s="75">
        <v>0.2</v>
      </c>
      <c r="U8" s="70">
        <v>54.99</v>
      </c>
      <c r="V8" s="10">
        <f>Table5[[#This Row],[Cost]]/Table5[[#This Row],[SizTB]]</f>
        <v>54.99</v>
      </c>
      <c r="W8" s="11">
        <f>Table5[[#This Row],[Cost]]+((CompareWarrYrs-Table5[[#This Row],[Warnty]])*(Incremental_Warr_Yr*Table5[[#This Row],[Cost]]))</f>
        <v>67.087800000000001</v>
      </c>
      <c r="X8" s="6">
        <f>Table5[[#This Row],[$+Warr]]/Table5[[#This Row],[SizTB]]</f>
        <v>67.087800000000001</v>
      </c>
      <c r="Y8" s="10">
        <f>Table5[[#This Row],[$PerTB]]/CompareWarrYrs</f>
        <v>13.41756</v>
      </c>
      <c r="Z8" s="7"/>
      <c r="AA8" s="58"/>
      <c r="AB8" s="59"/>
      <c r="AC8" s="51"/>
    </row>
    <row r="9" spans="1:29" x14ac:dyDescent="0.25">
      <c r="A9" s="1">
        <v>42984</v>
      </c>
      <c r="B9" t="s">
        <v>15</v>
      </c>
      <c r="C9" s="163" t="s">
        <v>30</v>
      </c>
      <c r="D9" s="37" t="s">
        <v>57</v>
      </c>
      <c r="E9" s="134">
        <v>3.5</v>
      </c>
      <c r="F9" s="119">
        <v>2</v>
      </c>
      <c r="G9" s="53">
        <v>7200</v>
      </c>
      <c r="H9" s="5">
        <v>4.16</v>
      </c>
      <c r="I9" s="5">
        <v>8</v>
      </c>
      <c r="J9" s="86">
        <f>(Table5[[#This Row],[RPM]]/5400-1)</f>
        <v>0.33333333333333326</v>
      </c>
      <c r="K9" s="56">
        <v>192</v>
      </c>
      <c r="L9">
        <v>5</v>
      </c>
      <c r="M9" s="47">
        <v>600000</v>
      </c>
      <c r="O9" s="47">
        <v>2000000</v>
      </c>
      <c r="P9" s="46">
        <v>1000000000000000</v>
      </c>
      <c r="Q9" s="74"/>
      <c r="R9" s="5">
        <v>9.1</v>
      </c>
      <c r="S9" s="5">
        <v>7.1</v>
      </c>
      <c r="T9" s="75"/>
      <c r="U9" s="70">
        <v>149.34</v>
      </c>
      <c r="V9" s="10">
        <f>Table5[[#This Row],[Cost]]/Table5[[#This Row],[SizTB]]</f>
        <v>74.67</v>
      </c>
      <c r="W9" s="11">
        <f>Table5[[#This Row],[Cost]]+((CompareWarrYrs-Table5[[#This Row],[Warnty]])*(Incremental_Warr_Yr*Table5[[#This Row],[Cost]]))</f>
        <v>149.34</v>
      </c>
      <c r="X9" s="6">
        <f>Table5[[#This Row],[$+Warr]]/Table5[[#This Row],[SizTB]]</f>
        <v>74.67</v>
      </c>
      <c r="Y9" s="10">
        <f>Table5[[#This Row],[$PerTB]]/CompareWarrYrs</f>
        <v>14.934000000000001</v>
      </c>
      <c r="Z9" s="7"/>
      <c r="AA9" s="58">
        <f>(((Table5[[#This Row],[Watts Active]]*Power_On_Hours_Year/1000)*Active_Duty_Cycle)+((Table5[[#This Row],[Watts Idle]]*Power_On_Hours_Year/1000)*(100%-Active_Duty_Cycle)))*CostPerKWH</f>
        <v>8.2179000000000002</v>
      </c>
      <c r="AB9" s="59">
        <f>Table5[[#This Row],[Energy$year]]/Table5[[#This Row],[SizTB]]</f>
        <v>4.1089500000000001</v>
      </c>
      <c r="AC9" s="51"/>
    </row>
    <row r="10" spans="1:29" x14ac:dyDescent="0.25">
      <c r="A10" s="1">
        <v>42984</v>
      </c>
      <c r="B10" t="s">
        <v>15</v>
      </c>
      <c r="C10" s="163" t="s">
        <v>30</v>
      </c>
      <c r="D10" s="37" t="s">
        <v>57</v>
      </c>
      <c r="E10" s="134">
        <v>3.5</v>
      </c>
      <c r="F10" s="119">
        <v>4</v>
      </c>
      <c r="G10" s="53">
        <v>7200</v>
      </c>
      <c r="H10" s="5">
        <v>4.16</v>
      </c>
      <c r="I10" s="5">
        <v>8</v>
      </c>
      <c r="J10" s="86">
        <f>(Table5[[#This Row],[RPM]]/5400-1)</f>
        <v>0.33333333333333326</v>
      </c>
      <c r="K10" s="56">
        <v>192</v>
      </c>
      <c r="L10">
        <v>5</v>
      </c>
      <c r="M10" s="47">
        <v>600000</v>
      </c>
      <c r="O10" s="47">
        <v>2000000</v>
      </c>
      <c r="P10" s="46">
        <v>1000000000000000</v>
      </c>
      <c r="Q10" s="74"/>
      <c r="R10" s="5">
        <v>9.1</v>
      </c>
      <c r="S10" s="5">
        <v>7.1</v>
      </c>
      <c r="T10" s="75"/>
      <c r="U10" s="70">
        <v>255.99</v>
      </c>
      <c r="V10" s="10">
        <f>Table5[[#This Row],[Cost]]/Table5[[#This Row],[SizTB]]</f>
        <v>63.997500000000002</v>
      </c>
      <c r="W10" s="11">
        <f>Table5[[#This Row],[Cost]]+((CompareWarrYrs-Table5[[#This Row],[Warnty]])*(Incremental_Warr_Yr*Table5[[#This Row],[Cost]]))</f>
        <v>255.99</v>
      </c>
      <c r="X10" s="6">
        <f>Table5[[#This Row],[$+Warr]]/Table5[[#This Row],[SizTB]]</f>
        <v>63.997500000000002</v>
      </c>
      <c r="Y10" s="10">
        <f>Table5[[#This Row],[$PerTB]]/CompareWarrYrs</f>
        <v>12.7995</v>
      </c>
      <c r="Z10" s="7"/>
      <c r="AA10" s="58">
        <f>(((Table5[[#This Row],[Watts Active]]*Power_On_Hours_Year/1000)*Active_Duty_Cycle)+((Table5[[#This Row],[Watts Idle]]*Power_On_Hours_Year/1000)*(100%-Active_Duty_Cycle)))*CostPerKWH</f>
        <v>8.2179000000000002</v>
      </c>
      <c r="AB10" s="59">
        <f>Table5[[#This Row],[Energy$year]]/Table5[[#This Row],[SizTB]]</f>
        <v>2.0544750000000001</v>
      </c>
      <c r="AC10" s="51"/>
    </row>
    <row r="11" spans="1:29" x14ac:dyDescent="0.25">
      <c r="A11" s="1">
        <v>42984</v>
      </c>
      <c r="B11" t="s">
        <v>15</v>
      </c>
      <c r="C11" s="163" t="s">
        <v>30</v>
      </c>
      <c r="D11" s="37" t="s">
        <v>57</v>
      </c>
      <c r="E11" s="134">
        <v>3.5</v>
      </c>
      <c r="F11" s="119">
        <v>5</v>
      </c>
      <c r="G11" s="53">
        <v>7200</v>
      </c>
      <c r="H11" s="5">
        <v>4.16</v>
      </c>
      <c r="I11" s="5">
        <v>8</v>
      </c>
      <c r="J11" s="86">
        <f>(Table5[[#This Row],[RPM]]/5400-1)</f>
        <v>0.33333333333333326</v>
      </c>
      <c r="K11" s="56">
        <v>192</v>
      </c>
      <c r="L11">
        <v>5</v>
      </c>
      <c r="M11" s="47">
        <v>600000</v>
      </c>
      <c r="O11" s="47">
        <v>2000000</v>
      </c>
      <c r="P11" s="46">
        <v>1000000000000000</v>
      </c>
      <c r="Q11" s="74"/>
      <c r="R11" s="5">
        <v>9.1</v>
      </c>
      <c r="S11" s="5">
        <v>7.1</v>
      </c>
      <c r="T11" s="75"/>
      <c r="U11" s="70">
        <v>381.42</v>
      </c>
      <c r="V11" s="10">
        <f>Table5[[#This Row],[Cost]]/Table5[[#This Row],[SizTB]]</f>
        <v>76.284000000000006</v>
      </c>
      <c r="W11" s="11">
        <f>Table5[[#This Row],[Cost]]+((CompareWarrYrs-Table5[[#This Row],[Warnty]])*(Incremental_Warr_Yr*Table5[[#This Row],[Cost]]))</f>
        <v>381.42</v>
      </c>
      <c r="X11" s="6">
        <f>Table5[[#This Row],[$+Warr]]/Table5[[#This Row],[SizTB]]</f>
        <v>76.284000000000006</v>
      </c>
      <c r="Y11" s="10">
        <f>Table5[[#This Row],[$PerTB]]/CompareWarrYrs</f>
        <v>15.256800000000002</v>
      </c>
      <c r="Z11" s="7"/>
      <c r="AA11" s="58">
        <f>(((Table5[[#This Row],[Watts Active]]*Power_On_Hours_Year/1000)*Active_Duty_Cycle)+((Table5[[#This Row],[Watts Idle]]*Power_On_Hours_Year/1000)*(100%-Active_Duty_Cycle)))*CostPerKWH</f>
        <v>8.2179000000000002</v>
      </c>
      <c r="AB11" s="59">
        <f>Table5[[#This Row],[Energy$year]]/Table5[[#This Row],[SizTB]]</f>
        <v>1.64358</v>
      </c>
      <c r="AC11" s="51"/>
    </row>
    <row r="12" spans="1:29" x14ac:dyDescent="0.25">
      <c r="A12" s="1">
        <v>42984</v>
      </c>
      <c r="B12" t="s">
        <v>15</v>
      </c>
      <c r="C12" s="163" t="s">
        <v>30</v>
      </c>
      <c r="D12" s="37" t="s">
        <v>57</v>
      </c>
      <c r="E12" s="134">
        <v>3.5</v>
      </c>
      <c r="F12" s="119">
        <v>6</v>
      </c>
      <c r="G12" s="53">
        <v>7200</v>
      </c>
      <c r="H12" s="5">
        <v>4.16</v>
      </c>
      <c r="I12" s="5">
        <v>8</v>
      </c>
      <c r="J12" s="86">
        <f>(Table5[[#This Row],[RPM]]/5400-1)</f>
        <v>0.33333333333333326</v>
      </c>
      <c r="K12" s="56">
        <v>216</v>
      </c>
      <c r="L12">
        <v>5</v>
      </c>
      <c r="M12" s="47">
        <v>600000</v>
      </c>
      <c r="O12" s="47">
        <v>2000000</v>
      </c>
      <c r="P12" s="46">
        <v>1000000000000000</v>
      </c>
      <c r="Q12" s="74"/>
      <c r="R12" s="5">
        <v>9.1</v>
      </c>
      <c r="S12" s="5">
        <v>7.1</v>
      </c>
      <c r="T12" s="75"/>
      <c r="U12" s="70">
        <v>301.52999999999997</v>
      </c>
      <c r="V12" s="10">
        <f>Table5[[#This Row],[Cost]]/Table5[[#This Row],[SizTB]]</f>
        <v>50.254999999999995</v>
      </c>
      <c r="W12" s="11">
        <f>Table5[[#This Row],[Cost]]+((CompareWarrYrs-Table5[[#This Row],[Warnty]])*(Incremental_Warr_Yr*Table5[[#This Row],[Cost]]))</f>
        <v>301.52999999999997</v>
      </c>
      <c r="X12" s="6">
        <f>Table5[[#This Row],[$+Warr]]/Table5[[#This Row],[SizTB]]</f>
        <v>50.254999999999995</v>
      </c>
      <c r="Y12" s="10">
        <f>Table5[[#This Row],[$PerTB]]/CompareWarrYrs</f>
        <v>10.050999999999998</v>
      </c>
      <c r="Z12" s="7"/>
      <c r="AA12" s="58">
        <f>(((Table5[[#This Row],[Watts Active]]*Power_On_Hours_Year/1000)*Active_Duty_Cycle)+((Table5[[#This Row],[Watts Idle]]*Power_On_Hours_Year/1000)*(100%-Active_Duty_Cycle)))*CostPerKWH</f>
        <v>8.2179000000000002</v>
      </c>
      <c r="AB12" s="59">
        <f>Table5[[#This Row],[Energy$year]]/Table5[[#This Row],[SizTB]]</f>
        <v>1.36965</v>
      </c>
      <c r="AC12" s="51"/>
    </row>
    <row r="13" spans="1:29" ht="17.25" x14ac:dyDescent="0.25">
      <c r="A13" s="1">
        <v>42846</v>
      </c>
      <c r="B13" t="s">
        <v>15</v>
      </c>
      <c r="C13" s="122" t="s">
        <v>95</v>
      </c>
      <c r="D13" s="37"/>
      <c r="E13" s="134">
        <v>3.5</v>
      </c>
      <c r="F13" s="119">
        <v>8</v>
      </c>
      <c r="G13" s="53">
        <v>7200</v>
      </c>
      <c r="H13" s="5"/>
      <c r="I13" s="5"/>
      <c r="J13" s="86">
        <f>(Table5[[#This Row],[RPM]]/5400-1)</f>
        <v>0.33333333333333326</v>
      </c>
      <c r="K13" s="56"/>
      <c r="L13">
        <v>5</v>
      </c>
      <c r="M13" s="47"/>
      <c r="O13" s="47"/>
      <c r="P13" s="46"/>
      <c r="Q13" s="74"/>
      <c r="R13" s="5">
        <v>7.6</v>
      </c>
      <c r="S13" s="5">
        <v>5.0999999999999996</v>
      </c>
      <c r="T13" s="75"/>
      <c r="U13" s="70">
        <v>373</v>
      </c>
      <c r="V13" s="10">
        <f>Table5[[#This Row],[Cost]]/Table5[[#This Row],[SizTB]]</f>
        <v>46.625</v>
      </c>
      <c r="W13" s="11">
        <f>Table5[[#This Row],[Cost]]+((CompareWarrYrs-Table5[[#This Row],[Warnty]])*(Incremental_Warr_Yr*Table5[[#This Row],[Cost]]))</f>
        <v>373</v>
      </c>
      <c r="X13" s="6">
        <f>Table5[[#This Row],[$+Warr]]/Table5[[#This Row],[SizTB]]</f>
        <v>46.625</v>
      </c>
      <c r="Y13" s="10">
        <f>Table5[[#This Row],[$PerTB]]/CompareWarrYrs</f>
        <v>9.3249999999999993</v>
      </c>
      <c r="Z13" s="7"/>
      <c r="AA13" s="58">
        <f>(((Table5[[#This Row],[Watts Active]]*Power_On_Hours_Year/1000)*Active_Duty_Cycle)+((Table5[[#This Row],[Watts Idle]]*Power_On_Hours_Year/1000)*(100%-Active_Duty_Cycle)))*CostPerKWH</f>
        <v>6.1360319999999993</v>
      </c>
      <c r="AB13" s="59">
        <f>Table5[[#This Row],[Energy$year]]/Table5[[#This Row],[SizTB]]</f>
        <v>0.76700399999999991</v>
      </c>
      <c r="AC13" s="51" t="s">
        <v>43</v>
      </c>
    </row>
    <row r="14" spans="1:29" x14ac:dyDescent="0.25">
      <c r="A14" s="1">
        <v>43021</v>
      </c>
      <c r="B14" t="s">
        <v>15</v>
      </c>
      <c r="C14" s="163" t="s">
        <v>123</v>
      </c>
      <c r="D14" s="161" t="s">
        <v>57</v>
      </c>
      <c r="E14" s="134">
        <v>2.5</v>
      </c>
      <c r="F14" s="119">
        <v>1.2</v>
      </c>
      <c r="G14" s="53">
        <v>10520</v>
      </c>
      <c r="H14" s="5">
        <v>2.85</v>
      </c>
      <c r="I14" s="5">
        <v>4.4000000000000004</v>
      </c>
      <c r="J14" s="86">
        <f>(Table5[[#This Row],[RPM]]/5400-1)</f>
        <v>0.94814814814814818</v>
      </c>
      <c r="K14" s="56">
        <v>224</v>
      </c>
      <c r="L14">
        <v>5</v>
      </c>
      <c r="M14" s="47"/>
      <c r="O14" s="47">
        <v>2000000</v>
      </c>
      <c r="P14" s="46">
        <v>1E+16</v>
      </c>
      <c r="Q14" s="74"/>
      <c r="R14" s="5">
        <v>6.5</v>
      </c>
      <c r="S14" s="5">
        <v>4.7</v>
      </c>
      <c r="T14" s="75"/>
      <c r="U14" s="70">
        <v>180</v>
      </c>
      <c r="V14" s="10">
        <f>Table5[[#This Row],[Cost]]/Table5[[#This Row],[SizTB]]</f>
        <v>150</v>
      </c>
      <c r="W14" s="11">
        <f>Table5[[#This Row],[Cost]]+((CompareWarrYrs-Table5[[#This Row],[Warnty]])*(Incremental_Warr_Yr*Table5[[#This Row],[Cost]]))</f>
        <v>180</v>
      </c>
      <c r="X14" s="6">
        <f>Table5[[#This Row],[$+Warr]]/Table5[[#This Row],[SizTB]]</f>
        <v>150</v>
      </c>
      <c r="Y14" s="10">
        <f>Table5[[#This Row],[$PerTB]]/CompareWarrYrs</f>
        <v>30</v>
      </c>
      <c r="Z14" s="7"/>
      <c r="AA14" s="58">
        <f>(((Table5[[#This Row],[Watts Active]]*Power_On_Hours_Year/1000)*Active_Duty_Cycle)+((Table5[[#This Row],[Watts Idle]]*Power_On_Hours_Year/1000)*(100%-Active_Duty_Cycle)))*CostPerKWH</f>
        <v>5.5443432000000001</v>
      </c>
      <c r="AB14" s="59">
        <f>Table5[[#This Row],[Energy$year]]/Table5[[#This Row],[SizTB]]</f>
        <v>4.6202860000000001</v>
      </c>
      <c r="AC14" s="51"/>
    </row>
    <row r="15" spans="1:29" x14ac:dyDescent="0.25">
      <c r="A15" s="1">
        <v>43021</v>
      </c>
      <c r="B15" t="s">
        <v>15</v>
      </c>
      <c r="C15" s="163" t="s">
        <v>107</v>
      </c>
      <c r="D15" s="161" t="s">
        <v>57</v>
      </c>
      <c r="E15" s="134">
        <v>2.5</v>
      </c>
      <c r="F15" s="119">
        <v>1.8</v>
      </c>
      <c r="G15" s="53">
        <v>10520</v>
      </c>
      <c r="H15" s="5">
        <v>2.85</v>
      </c>
      <c r="I15" s="5">
        <v>4.4000000000000004</v>
      </c>
      <c r="J15" s="86">
        <f>(Table5[[#This Row],[RPM]]/5400-1)</f>
        <v>0.94814814814814818</v>
      </c>
      <c r="K15" s="56">
        <v>224</v>
      </c>
      <c r="L15">
        <v>5</v>
      </c>
      <c r="M15" s="47"/>
      <c r="O15" s="47">
        <v>2000000</v>
      </c>
      <c r="P15" s="46">
        <v>1E+16</v>
      </c>
      <c r="Q15" s="74"/>
      <c r="R15" s="5">
        <v>6.6</v>
      </c>
      <c r="S15" s="5">
        <v>4.7</v>
      </c>
      <c r="T15" s="75"/>
      <c r="U15" s="70">
        <v>315</v>
      </c>
      <c r="V15" s="10">
        <f>Table5[[#This Row],[Cost]]/Table5[[#This Row],[SizTB]]</f>
        <v>175</v>
      </c>
      <c r="W15" s="11">
        <f>Table5[[#This Row],[Cost]]+((CompareWarrYrs-Table5[[#This Row],[Warnty]])*(Incremental_Warr_Yr*Table5[[#This Row],[Cost]]))</f>
        <v>315</v>
      </c>
      <c r="X15" s="6">
        <f>Table5[[#This Row],[$+Warr]]/Table5[[#This Row],[SizTB]]</f>
        <v>175</v>
      </c>
      <c r="Y15" s="10">
        <f>Table5[[#This Row],[$PerTB]]/CompareWarrYrs</f>
        <v>35</v>
      </c>
      <c r="Z15" s="7"/>
      <c r="AA15" s="58">
        <f>(((Table5[[#This Row],[Watts Active]]*Power_On_Hours_Year/1000)*Active_Duty_Cycle)+((Table5[[#This Row],[Watts Idle]]*Power_On_Hours_Year/1000)*(100%-Active_Duty_Cycle)))*CostPerKWH</f>
        <v>5.5662576000000001</v>
      </c>
      <c r="AB15" s="59">
        <f>Table5[[#This Row],[Energy$year]]/Table5[[#This Row],[SizTB]]</f>
        <v>3.0923653333333334</v>
      </c>
      <c r="AC15" s="51"/>
    </row>
    <row r="16" spans="1:29" x14ac:dyDescent="0.25">
      <c r="A16" s="1">
        <v>43021</v>
      </c>
      <c r="B16" t="s">
        <v>15</v>
      </c>
      <c r="C16" s="163" t="s">
        <v>108</v>
      </c>
      <c r="D16" s="161" t="s">
        <v>57</v>
      </c>
      <c r="E16" s="134">
        <v>2.5</v>
      </c>
      <c r="F16" s="119">
        <v>0.6</v>
      </c>
      <c r="G16" s="53">
        <v>15030</v>
      </c>
      <c r="H16" s="5">
        <v>1.99</v>
      </c>
      <c r="I16" s="5">
        <v>3.1</v>
      </c>
      <c r="J16" s="86">
        <f>(Table5[[#This Row],[RPM]]/5400-1)</f>
        <v>1.7833333333333332</v>
      </c>
      <c r="K16" s="56">
        <v>250</v>
      </c>
      <c r="L16">
        <v>5</v>
      </c>
      <c r="M16" s="47"/>
      <c r="O16" s="47">
        <v>2000000</v>
      </c>
      <c r="P16" s="46">
        <v>1E+17</v>
      </c>
      <c r="Q16" s="74"/>
      <c r="R16" s="5">
        <v>7.5</v>
      </c>
      <c r="S16" s="5">
        <v>5.8</v>
      </c>
      <c r="T16" s="75"/>
      <c r="U16" s="70">
        <v>259.99</v>
      </c>
      <c r="V16" s="10">
        <f>Table5[[#This Row],[Cost]]/Table5[[#This Row],[SizTB]]</f>
        <v>433.31666666666672</v>
      </c>
      <c r="W16" s="11">
        <f>Table5[[#This Row],[Cost]]+((CompareWarrYrs-Table5[[#This Row],[Warnty]])*(Incremental_Warr_Yr*Table5[[#This Row],[Cost]]))</f>
        <v>259.99</v>
      </c>
      <c r="X16" s="6">
        <f>Table5[[#This Row],[$+Warr]]/Table5[[#This Row],[SizTB]]</f>
        <v>433.31666666666672</v>
      </c>
      <c r="Y16" s="10">
        <f>Table5[[#This Row],[$PerTB]]/CompareWarrYrs</f>
        <v>86.663333333333341</v>
      </c>
      <c r="Z16" s="7"/>
      <c r="AA16" s="58">
        <f>(((Table5[[#This Row],[Watts Active]]*Power_On_Hours_Year/1000)*Active_Duty_Cycle)+((Table5[[#This Row],[Watts Idle]]*Power_On_Hours_Year/1000)*(100%-Active_Duty_Cycle)))*CostPerKWH</f>
        <v>6.7277208000000002</v>
      </c>
      <c r="AB16" s="59">
        <f>Table5[[#This Row],[Energy$year]]/Table5[[#This Row],[SizTB]]</f>
        <v>11.212868</v>
      </c>
      <c r="AC16" s="51"/>
    </row>
    <row r="17" spans="1:29" ht="17.25" x14ac:dyDescent="0.25">
      <c r="A17" s="1">
        <v>43019</v>
      </c>
      <c r="B17" t="s">
        <v>15</v>
      </c>
      <c r="C17" s="122" t="s">
        <v>94</v>
      </c>
      <c r="D17" s="37" t="s">
        <v>57</v>
      </c>
      <c r="E17" s="134">
        <v>3.5</v>
      </c>
      <c r="F17" s="119">
        <v>6</v>
      </c>
      <c r="G17" s="53">
        <v>7200</v>
      </c>
      <c r="H17" s="5">
        <v>4.16</v>
      </c>
      <c r="I17" s="5">
        <v>9</v>
      </c>
      <c r="J17" s="86">
        <f>(Table5[[#This Row],[RPM]]/5400-1)</f>
        <v>0.33333333333333326</v>
      </c>
      <c r="K17" s="56">
        <v>195</v>
      </c>
      <c r="L17">
        <v>5</v>
      </c>
      <c r="M17" s="47">
        <v>600000</v>
      </c>
      <c r="N17">
        <v>550</v>
      </c>
      <c r="O17" s="47">
        <v>2500000</v>
      </c>
      <c r="P17" s="46">
        <v>1000000000000000</v>
      </c>
      <c r="Q17" s="74"/>
      <c r="R17" s="5">
        <v>7.4</v>
      </c>
      <c r="S17" s="5">
        <v>5.0999999999999996</v>
      </c>
      <c r="T17" s="75"/>
      <c r="U17" s="70">
        <v>179.99</v>
      </c>
      <c r="V17" s="10">
        <f>Table5[[#This Row],[Cost]]/Table5[[#This Row],[SizTB]]</f>
        <v>29.998333333333335</v>
      </c>
      <c r="W17" s="11">
        <f>Table5[[#This Row],[Cost]]+((CompareWarrYrs-Table5[[#This Row],[Warnty]])*(Incremental_Warr_Yr*Table5[[#This Row],[Cost]]))</f>
        <v>179.99</v>
      </c>
      <c r="X17" s="6">
        <f>Table5[[#This Row],[$+Warr]]/Table5[[#This Row],[SizTB]]</f>
        <v>29.998333333333335</v>
      </c>
      <c r="Y17" s="10">
        <f>Table5[[#This Row],[$PerTB]]/CompareWarrYrs</f>
        <v>5.9996666666666671</v>
      </c>
      <c r="Z17" s="7"/>
      <c r="AA17" s="58">
        <f>(((Table5[[#This Row],[Watts Active]]*Power_On_Hours_Year/1000)*Active_Duty_Cycle)+((Table5[[#This Row],[Watts Idle]]*Power_On_Hours_Year/1000)*(100%-Active_Duty_Cycle)))*CostPerKWH</f>
        <v>6.0922031999999993</v>
      </c>
      <c r="AB17" s="59">
        <f>Table5[[#This Row],[Energy$year]]/Table5[[#This Row],[SizTB]]</f>
        <v>1.0153671999999998</v>
      </c>
      <c r="AC17" s="51" t="s">
        <v>43</v>
      </c>
    </row>
    <row r="18" spans="1:29" ht="17.25" x14ac:dyDescent="0.25">
      <c r="A18" s="1">
        <v>43019</v>
      </c>
      <c r="B18" t="s">
        <v>15</v>
      </c>
      <c r="C18" s="122" t="s">
        <v>93</v>
      </c>
      <c r="D18" s="37" t="s">
        <v>57</v>
      </c>
      <c r="E18" s="134">
        <v>3.5</v>
      </c>
      <c r="F18" s="119">
        <v>8</v>
      </c>
      <c r="G18" s="53">
        <v>7200</v>
      </c>
      <c r="H18" s="5">
        <v>4.16</v>
      </c>
      <c r="I18" s="5">
        <v>8.5</v>
      </c>
      <c r="J18" s="86">
        <f>(Table5[[#This Row],[RPM]]/5400-1)</f>
        <v>0.33333333333333326</v>
      </c>
      <c r="K18" s="56">
        <v>237</v>
      </c>
      <c r="L18">
        <v>5</v>
      </c>
      <c r="M18" s="47">
        <v>600000</v>
      </c>
      <c r="N18">
        <v>550</v>
      </c>
      <c r="O18" s="47">
        <v>2500000</v>
      </c>
      <c r="P18" s="46">
        <v>1000000000000000</v>
      </c>
      <c r="Q18" s="74"/>
      <c r="R18" s="5">
        <v>7.4</v>
      </c>
      <c r="S18" s="5">
        <v>5.0999999999999996</v>
      </c>
      <c r="T18" s="75"/>
      <c r="U18" s="70">
        <v>285</v>
      </c>
      <c r="V18" s="10">
        <f>Table5[[#This Row],[Cost]]/Table5[[#This Row],[SizTB]]</f>
        <v>35.625</v>
      </c>
      <c r="W18" s="11">
        <f>Table5[[#This Row],[Cost]]+((CompareWarrYrs-Table5[[#This Row],[Warnty]])*(Incremental_Warr_Yr*Table5[[#This Row],[Cost]]))</f>
        <v>285</v>
      </c>
      <c r="X18" s="6">
        <f>Table5[[#This Row],[$+Warr]]/Table5[[#This Row],[SizTB]]</f>
        <v>35.625</v>
      </c>
      <c r="Y18" s="10">
        <f>Table5[[#This Row],[$PerTB]]/CompareWarrYrs</f>
        <v>7.125</v>
      </c>
      <c r="Z18" s="7"/>
      <c r="AA18" s="58">
        <f>(((Table5[[#This Row],[Watts Active]]*Power_On_Hours_Year/1000)*Active_Duty_Cycle)+((Table5[[#This Row],[Watts Idle]]*Power_On_Hours_Year/1000)*(100%-Active_Duty_Cycle)))*CostPerKWH</f>
        <v>6.0922031999999993</v>
      </c>
      <c r="AB18" s="59">
        <f>Table5[[#This Row],[Energy$year]]/Table5[[#This Row],[SizTB]]</f>
        <v>0.76152539999999991</v>
      </c>
      <c r="AC18" s="51" t="s">
        <v>43</v>
      </c>
    </row>
    <row r="19" spans="1:29" ht="17.25" x14ac:dyDescent="0.25">
      <c r="A19" s="1">
        <v>43005</v>
      </c>
      <c r="B19" t="s">
        <v>15</v>
      </c>
      <c r="C19" s="122" t="s">
        <v>92</v>
      </c>
      <c r="D19" s="37" t="s">
        <v>57</v>
      </c>
      <c r="E19" s="134">
        <v>3.5</v>
      </c>
      <c r="F19" s="119">
        <v>10</v>
      </c>
      <c r="G19" s="53">
        <v>7200</v>
      </c>
      <c r="H19" s="5">
        <v>4.16</v>
      </c>
      <c r="I19" s="5">
        <v>8</v>
      </c>
      <c r="J19" s="86">
        <f>(Table5[[#This Row],[RPM]]/5400-1)</f>
        <v>0.33333333333333326</v>
      </c>
      <c r="K19" s="56">
        <v>237</v>
      </c>
      <c r="L19">
        <v>5</v>
      </c>
      <c r="M19" s="47">
        <v>600000</v>
      </c>
      <c r="N19">
        <v>550</v>
      </c>
      <c r="O19" s="47">
        <v>2500000</v>
      </c>
      <c r="P19" s="46">
        <v>1000000000000000</v>
      </c>
      <c r="Q19" s="74"/>
      <c r="R19" s="5">
        <v>6.8</v>
      </c>
      <c r="S19" s="5">
        <v>5</v>
      </c>
      <c r="T19" s="75"/>
      <c r="U19" s="70">
        <v>349.99</v>
      </c>
      <c r="V19" s="10">
        <f>Table5[[#This Row],[Cost]]/Table5[[#This Row],[SizTB]]</f>
        <v>34.999000000000002</v>
      </c>
      <c r="W19" s="11">
        <f>Table5[[#This Row],[Cost]]+((CompareWarrYrs-Table5[[#This Row],[Warnty]])*(Incremental_Warr_Yr*Table5[[#This Row],[Cost]]))</f>
        <v>349.99</v>
      </c>
      <c r="X19" s="6">
        <f>Table5[[#This Row],[$+Warr]]/Table5[[#This Row],[SizTB]]</f>
        <v>34.999000000000002</v>
      </c>
      <c r="Y19" s="10">
        <f>Table5[[#This Row],[$PerTB]]/CompareWarrYrs</f>
        <v>6.9998000000000005</v>
      </c>
      <c r="Z19" s="7"/>
      <c r="AA19" s="58">
        <f>(((Table5[[#This Row],[Watts Active]]*Power_On_Hours_Year/1000)*Active_Duty_Cycle)+((Table5[[#This Row],[Watts Idle]]*Power_On_Hours_Year/1000)*(100%-Active_Duty_Cycle)))*CostPerKWH</f>
        <v>5.8730592000000001</v>
      </c>
      <c r="AB19" s="59">
        <f>Table5[[#This Row],[Energy$year]]/Table5[[#This Row],[SizTB]]</f>
        <v>0.58730592000000004</v>
      </c>
      <c r="AC19" s="51" t="s">
        <v>43</v>
      </c>
    </row>
    <row r="20" spans="1:29" ht="17.25" x14ac:dyDescent="0.25">
      <c r="A20" s="1">
        <v>43005</v>
      </c>
      <c r="B20" t="s">
        <v>15</v>
      </c>
      <c r="C20" s="122" t="s">
        <v>91</v>
      </c>
      <c r="D20" s="159" t="s">
        <v>57</v>
      </c>
      <c r="E20" s="134">
        <v>3.5</v>
      </c>
      <c r="F20" s="119">
        <v>12</v>
      </c>
      <c r="G20" s="53">
        <v>7200</v>
      </c>
      <c r="H20" s="5">
        <v>4.16</v>
      </c>
      <c r="I20" s="5">
        <v>8.6</v>
      </c>
      <c r="J20" s="86">
        <f>(Table5[[#This Row],[RPM]]/5400-1)</f>
        <v>0.33333333333333326</v>
      </c>
      <c r="K20" s="56">
        <v>243</v>
      </c>
      <c r="L20">
        <v>5</v>
      </c>
      <c r="M20" s="47">
        <v>600000</v>
      </c>
      <c r="N20">
        <v>550</v>
      </c>
      <c r="O20" s="47">
        <v>2500000</v>
      </c>
      <c r="P20" s="46">
        <v>1000000000000000</v>
      </c>
      <c r="Q20" s="74"/>
      <c r="R20" s="5">
        <v>7.2</v>
      </c>
      <c r="S20" s="5">
        <v>5.3</v>
      </c>
      <c r="T20" s="75"/>
      <c r="U20" s="70">
        <v>619.98</v>
      </c>
      <c r="V20" s="10">
        <f>Table5[[#This Row],[Cost]]/Table5[[#This Row],[SizTB]]</f>
        <v>51.664999999999999</v>
      </c>
      <c r="W20" s="11">
        <f>Table5[[#This Row],[Cost]]+((CompareWarrYrs-Table5[[#This Row],[Warnty]])*(Incremental_Warr_Yr*Table5[[#This Row],[Cost]]))</f>
        <v>619.98</v>
      </c>
      <c r="X20" s="6">
        <f>Table5[[#This Row],[$+Warr]]/Table5[[#This Row],[SizTB]]</f>
        <v>51.664999999999999</v>
      </c>
      <c r="Y20" s="10">
        <f>Table5[[#This Row],[$PerTB]]/CompareWarrYrs</f>
        <v>10.333</v>
      </c>
      <c r="Z20" s="7"/>
      <c r="AA20" s="58">
        <f>(((Table5[[#This Row],[Watts Active]]*Power_On_Hours_Year/1000)*Active_Duty_Cycle)+((Table5[[#This Row],[Watts Idle]]*Power_On_Hours_Year/1000)*(100%-Active_Duty_Cycle)))*CostPerKWH</f>
        <v>6.2236896000000002</v>
      </c>
      <c r="AB20" s="59">
        <f>Table5[[#This Row],[Energy$year]]/Table5[[#This Row],[SizTB]]</f>
        <v>0.51864080000000001</v>
      </c>
      <c r="AC20" s="51" t="s">
        <v>43</v>
      </c>
    </row>
    <row r="21" spans="1:29" ht="18" thickBot="1" x14ac:dyDescent="0.3">
      <c r="A21" s="94">
        <v>43021</v>
      </c>
      <c r="B21" s="95" t="s">
        <v>15</v>
      </c>
      <c r="C21" s="162" t="s">
        <v>124</v>
      </c>
      <c r="D21" s="96"/>
      <c r="E21" s="136">
        <v>3.5</v>
      </c>
      <c r="F21" s="120">
        <v>14</v>
      </c>
      <c r="G21" s="97">
        <v>7200</v>
      </c>
      <c r="H21" s="98">
        <v>4.16</v>
      </c>
      <c r="I21" s="98">
        <v>12</v>
      </c>
      <c r="J21" s="99">
        <f>(Table5[[#This Row],[RPM]]/5400-1)</f>
        <v>0.33333333333333326</v>
      </c>
      <c r="K21" s="100">
        <v>233</v>
      </c>
      <c r="L21" s="95">
        <v>5</v>
      </c>
      <c r="M21" s="101">
        <v>600000</v>
      </c>
      <c r="N21" s="95">
        <v>550</v>
      </c>
      <c r="O21" s="101">
        <v>2500000</v>
      </c>
      <c r="P21" s="102">
        <v>1000000000000000</v>
      </c>
      <c r="Q21" s="103"/>
      <c r="R21" s="98">
        <v>6.4</v>
      </c>
      <c r="S21" s="98">
        <v>5.2</v>
      </c>
      <c r="T21" s="104"/>
      <c r="U21" s="105"/>
      <c r="V21" s="106">
        <f>Table5[[#This Row],[Cost]]/Table5[[#This Row],[SizTB]]</f>
        <v>0</v>
      </c>
      <c r="W21" s="107">
        <f>Table5[[#This Row],[Cost]]+((CompareWarrYrs-Table5[[#This Row],[Warnty]])*(Incremental_Warr_Yr*Table5[[#This Row],[Cost]]))</f>
        <v>0</v>
      </c>
      <c r="X21" s="108">
        <f>Table5[[#This Row],[$+Warr]]/Table5[[#This Row],[SizTB]]</f>
        <v>0</v>
      </c>
      <c r="Y21" s="106">
        <f>Table5[[#This Row],[$PerTB]]/CompareWarrYrs</f>
        <v>0</v>
      </c>
      <c r="Z21" s="109"/>
      <c r="AA21" s="110">
        <f>(((Table5[[#This Row],[Watts Active]]*Power_On_Hours_Year/1000)*Active_Duty_Cycle)+((Table5[[#This Row],[Watts Idle]]*Power_On_Hours_Year/1000)*(100%-Active_Duty_Cycle)))*CostPerKWH</f>
        <v>5.960716800000001</v>
      </c>
      <c r="AB21" s="111">
        <f>Table5[[#This Row],[Energy$year]]/Table5[[#This Row],[SizTB]]</f>
        <v>0.4257654857142858</v>
      </c>
      <c r="AC21" s="112" t="s">
        <v>121</v>
      </c>
    </row>
    <row r="22" spans="1:29" ht="15.75" thickTop="1" x14ac:dyDescent="0.25">
      <c r="A22" s="1">
        <v>42961</v>
      </c>
      <c r="B22" t="s">
        <v>10</v>
      </c>
      <c r="C22" s="122" t="s">
        <v>20</v>
      </c>
      <c r="D22" s="37"/>
      <c r="E22" s="134">
        <v>3.5</v>
      </c>
      <c r="F22" s="119">
        <v>5</v>
      </c>
      <c r="G22" s="53">
        <v>5900</v>
      </c>
      <c r="H22" s="5"/>
      <c r="I22" s="5"/>
      <c r="J22" s="86">
        <f>(Table5[[#This Row],[RPM]]/5400-1)</f>
        <v>9.259259259259256E-2</v>
      </c>
      <c r="K22" s="56">
        <v>146</v>
      </c>
      <c r="L22">
        <v>3</v>
      </c>
      <c r="M22" s="47">
        <v>300000</v>
      </c>
      <c r="N22">
        <v>180</v>
      </c>
      <c r="O22" s="47">
        <v>800000</v>
      </c>
      <c r="P22" s="46">
        <f t="shared" ref="P22:P33" si="2">10^14</f>
        <v>100000000000000</v>
      </c>
      <c r="Q22" s="74">
        <v>24</v>
      </c>
      <c r="R22" s="5">
        <v>5.5</v>
      </c>
      <c r="S22" s="5">
        <v>3.5</v>
      </c>
      <c r="T22" s="75">
        <v>0.74</v>
      </c>
      <c r="U22" s="70">
        <v>192.01</v>
      </c>
      <c r="V22" s="10">
        <f>Table5[[#This Row],[Cost]]/Table5[[#This Row],[SizTB]]</f>
        <v>38.402000000000001</v>
      </c>
      <c r="W22" s="11">
        <f>Table5[[#This Row],[Cost]]+((CompareWarrYrs-Table5[[#This Row],[Warnty]])*(Incremental_Warr_Yr*Table5[[#This Row],[Cost]]))</f>
        <v>234.25219999999999</v>
      </c>
      <c r="X22" s="6">
        <f>Table5[[#This Row],[$+Warr]]/Table5[[#This Row],[SizTB]]</f>
        <v>46.850439999999999</v>
      </c>
      <c r="Y22" s="10">
        <f>Table5[[#This Row],[$PerTB]]/CompareWarrYrs</f>
        <v>9.3700879999999991</v>
      </c>
      <c r="Z22" s="7"/>
      <c r="AA22" s="58">
        <f>(((Table5[[#This Row],[Watts Active]]*Power_On_Hours_Year/1000)*Active_Duty_Cycle)+((Table5[[#This Row],[Watts Idle]]*Power_On_Hours_Year/1000)*(100%-Active_Duty_Cycle)))*CostPerKWH</f>
        <v>4.2733080000000001</v>
      </c>
      <c r="AB22" s="59">
        <f>Table5[[#This Row],[Energy$year]]/Table5[[#This Row],[SizTB]]</f>
        <v>0.85466160000000002</v>
      </c>
      <c r="AC22" s="160" t="s">
        <v>122</v>
      </c>
    </row>
    <row r="23" spans="1:29" x14ac:dyDescent="0.25">
      <c r="A23" s="1">
        <v>42961</v>
      </c>
      <c r="B23" t="s">
        <v>10</v>
      </c>
      <c r="C23" s="122" t="s">
        <v>20</v>
      </c>
      <c r="D23" s="37"/>
      <c r="E23" s="134">
        <v>3.5</v>
      </c>
      <c r="F23" s="119">
        <v>6</v>
      </c>
      <c r="G23" s="53">
        <v>5900</v>
      </c>
      <c r="H23" s="5"/>
      <c r="I23" s="5"/>
      <c r="J23" s="86">
        <f>(Table5[[#This Row],[RPM]]/5400-1)</f>
        <v>9.259259259259256E-2</v>
      </c>
      <c r="K23" s="56">
        <v>150</v>
      </c>
      <c r="L23">
        <v>3</v>
      </c>
      <c r="M23" s="47">
        <v>300000</v>
      </c>
      <c r="N23">
        <v>180</v>
      </c>
      <c r="O23" s="47">
        <v>800000</v>
      </c>
      <c r="P23" s="46">
        <f t="shared" si="2"/>
        <v>100000000000000</v>
      </c>
      <c r="Q23" s="74">
        <v>24</v>
      </c>
      <c r="R23" s="5">
        <v>7.5</v>
      </c>
      <c r="S23" s="5">
        <v>5</v>
      </c>
      <c r="T23" s="75">
        <v>0.99</v>
      </c>
      <c r="U23" s="70">
        <v>203.47</v>
      </c>
      <c r="V23" s="10">
        <f>Table5[[#This Row],[Cost]]/Table5[[#This Row],[SizTB]]</f>
        <v>33.911666666666669</v>
      </c>
      <c r="W23" s="11">
        <f>Table5[[#This Row],[Cost]]+((CompareWarrYrs-Table5[[#This Row],[Warnty]])*(Incremental_Warr_Yr*Table5[[#This Row],[Cost]]))</f>
        <v>248.23339999999999</v>
      </c>
      <c r="X23" s="6">
        <f>Table5[[#This Row],[$+Warr]]/Table5[[#This Row],[SizTB]]</f>
        <v>41.372233333333334</v>
      </c>
      <c r="Y23" s="10">
        <f>Table5[[#This Row],[$PerTB]]/CompareWarrYrs</f>
        <v>8.2744466666666661</v>
      </c>
      <c r="Z23" s="7"/>
      <c r="AA23" s="58">
        <f>(((Table5[[#This Row],[Watts Active]]*Power_On_Hours_Year/1000)*Active_Duty_Cycle)+((Table5[[#This Row],[Watts Idle]]*Power_On_Hours_Year/1000)*(100%-Active_Duty_Cycle)))*CostPerKWH</f>
        <v>6.0264600000000002</v>
      </c>
      <c r="AB23" s="61">
        <f>Table5[[#This Row],[Energy$year]]/Table5[[#This Row],[SizTB]]</f>
        <v>1.00441</v>
      </c>
      <c r="AC23" s="160" t="s">
        <v>122</v>
      </c>
    </row>
    <row r="24" spans="1:29" x14ac:dyDescent="0.25">
      <c r="A24" s="1">
        <v>43019</v>
      </c>
      <c r="B24" t="s">
        <v>10</v>
      </c>
      <c r="C24" s="122" t="s">
        <v>20</v>
      </c>
      <c r="D24" s="37"/>
      <c r="E24" s="134">
        <v>3.5</v>
      </c>
      <c r="F24" s="119">
        <v>8</v>
      </c>
      <c r="G24" s="53">
        <v>5900</v>
      </c>
      <c r="H24" s="5"/>
      <c r="I24" s="5"/>
      <c r="J24" s="86">
        <f>(Table5[[#This Row],[RPM]]/5400-1)</f>
        <v>9.259259259259256E-2</v>
      </c>
      <c r="K24" s="56">
        <v>150</v>
      </c>
      <c r="L24">
        <v>3</v>
      </c>
      <c r="M24" s="47">
        <v>300000</v>
      </c>
      <c r="N24">
        <v>180</v>
      </c>
      <c r="O24" s="47">
        <v>800000</v>
      </c>
      <c r="P24" s="46">
        <f t="shared" si="2"/>
        <v>100000000000000</v>
      </c>
      <c r="Q24" s="74">
        <v>24</v>
      </c>
      <c r="R24" s="5">
        <v>7.5</v>
      </c>
      <c r="S24" s="5">
        <v>5</v>
      </c>
      <c r="T24" s="75">
        <v>0.99</v>
      </c>
      <c r="U24" s="70">
        <v>229.99</v>
      </c>
      <c r="V24" s="10">
        <f>Table5[[#This Row],[Cost]]/Table5[[#This Row],[SizTB]]</f>
        <v>28.748750000000001</v>
      </c>
      <c r="W24" s="11">
        <f>Table5[[#This Row],[Cost]]+((CompareWarrYrs-Table5[[#This Row],[Warnty]])*(Incremental_Warr_Yr*Table5[[#This Row],[Cost]]))</f>
        <v>280.58780000000002</v>
      </c>
      <c r="X24" s="6">
        <f>Table5[[#This Row],[$+Warr]]/Table5[[#This Row],[SizTB]]</f>
        <v>35.073475000000002</v>
      </c>
      <c r="Y24" s="10">
        <f>Table5[[#This Row],[$PerTB]]/CompareWarrYrs</f>
        <v>7.0146950000000006</v>
      </c>
      <c r="Z24" s="7"/>
      <c r="AA24" s="58">
        <f>(((Table5[[#This Row],[Watts Active]]*Power_On_Hours_Year/1000)*Active_Duty_Cycle)+((Table5[[#This Row],[Watts Idle]]*Power_On_Hours_Year/1000)*(100%-Active_Duty_Cycle)))*CostPerKWH</f>
        <v>6.0264600000000002</v>
      </c>
      <c r="AB24" s="59">
        <f>Table5[[#This Row],[Energy$year]]/Table5[[#This Row],[SizTB]]</f>
        <v>0.75330750000000002</v>
      </c>
      <c r="AC24" s="160" t="s">
        <v>122</v>
      </c>
    </row>
    <row r="25" spans="1:29" x14ac:dyDescent="0.25">
      <c r="A25" s="1">
        <v>43007</v>
      </c>
      <c r="B25" t="s">
        <v>10</v>
      </c>
      <c r="C25" s="122" t="s">
        <v>11</v>
      </c>
      <c r="D25" s="37"/>
      <c r="E25" s="134">
        <v>3.5</v>
      </c>
      <c r="F25" s="119">
        <v>1</v>
      </c>
      <c r="G25" s="53">
        <v>5400</v>
      </c>
      <c r="H25" s="5">
        <v>4.16</v>
      </c>
      <c r="I25" s="5">
        <v>9.5</v>
      </c>
      <c r="J25" s="86">
        <f>(Table5[[#This Row],[RPM]]/5400-1)</f>
        <v>0</v>
      </c>
      <c r="K25" s="56">
        <v>210</v>
      </c>
      <c r="L25">
        <v>2</v>
      </c>
      <c r="M25" s="47">
        <v>300000</v>
      </c>
      <c r="N25">
        <v>55</v>
      </c>
      <c r="O25" s="47"/>
      <c r="P25" s="46">
        <f t="shared" si="2"/>
        <v>100000000000000</v>
      </c>
      <c r="Q25" s="74">
        <v>24</v>
      </c>
      <c r="R25" s="5">
        <v>5.3</v>
      </c>
      <c r="S25" s="5">
        <v>4.5999999999999996</v>
      </c>
      <c r="T25" s="75">
        <v>0.94</v>
      </c>
      <c r="U25" s="70">
        <v>46.99</v>
      </c>
      <c r="V25" s="10">
        <f>Table5[[#This Row],[Cost]]/Table5[[#This Row],[SizTB]]</f>
        <v>46.99</v>
      </c>
      <c r="W25" s="11">
        <f>Table5[[#This Row],[Cost]]+((CompareWarrYrs-Table5[[#This Row],[Warnty]])*(Incremental_Warr_Yr*Table5[[#This Row],[Cost]]))</f>
        <v>62.496700000000004</v>
      </c>
      <c r="X25" s="6">
        <f>Table5[[#This Row],[$+Warr]]/Table5[[#This Row],[SizTB]]</f>
        <v>62.496700000000004</v>
      </c>
      <c r="Y25" s="10">
        <f>Table5[[#This Row],[$PerTB]]/CompareWarrYrs</f>
        <v>12.49934</v>
      </c>
      <c r="Z25" s="7"/>
      <c r="AA25" s="58">
        <f>(((Table5[[#This Row],[Watts Active]]*Power_On_Hours_Year/1000)*Active_Duty_Cycle)+((Table5[[#This Row],[Watts Idle]]*Power_On_Hours_Year/1000)*(100%-Active_Duty_Cycle)))*CostPerKWH</f>
        <v>5.1937128000000001</v>
      </c>
      <c r="AB25" s="59">
        <f>Table5[[#This Row],[Energy$year]]/Table5[[#This Row],[SizTB]]</f>
        <v>5.1937128000000001</v>
      </c>
      <c r="AC25" s="51"/>
    </row>
    <row r="26" spans="1:29" x14ac:dyDescent="0.25">
      <c r="A26" s="1">
        <v>43005</v>
      </c>
      <c r="B26" t="s">
        <v>10</v>
      </c>
      <c r="C26" s="122" t="s">
        <v>11</v>
      </c>
      <c r="D26" s="37"/>
      <c r="E26" s="134">
        <v>3.5</v>
      </c>
      <c r="F26" s="119">
        <v>2</v>
      </c>
      <c r="G26" s="53">
        <v>5400</v>
      </c>
      <c r="H26" s="5">
        <v>6</v>
      </c>
      <c r="I26" s="5">
        <v>15</v>
      </c>
      <c r="J26" s="86">
        <f>(Table5[[#This Row],[RPM]]/5400-1)</f>
        <v>0</v>
      </c>
      <c r="K26" s="56">
        <v>210</v>
      </c>
      <c r="L26">
        <v>2</v>
      </c>
      <c r="M26" s="47">
        <v>600000</v>
      </c>
      <c r="N26">
        <v>55</v>
      </c>
      <c r="O26" s="47"/>
      <c r="P26" s="46">
        <f t="shared" si="2"/>
        <v>100000000000000</v>
      </c>
      <c r="Q26" s="74">
        <f>2.5*12</f>
        <v>30</v>
      </c>
      <c r="R26" s="5">
        <v>8</v>
      </c>
      <c r="S26" s="5">
        <v>5.4</v>
      </c>
      <c r="T26" s="75">
        <v>0.75</v>
      </c>
      <c r="U26" s="70">
        <v>66.989999999999995</v>
      </c>
      <c r="V26" s="10">
        <f>Table5[[#This Row],[Cost]]/Table5[[#This Row],[SizTB]]</f>
        <v>33.494999999999997</v>
      </c>
      <c r="W26" s="11">
        <f>Table5[[#This Row],[Cost]]+((CompareWarrYrs-Table5[[#This Row],[Warnty]])*(Incremental_Warr_Yr*Table5[[#This Row],[Cost]]))</f>
        <v>89.096699999999998</v>
      </c>
      <c r="X26" s="6">
        <f>Table5[[#This Row],[$+Warr]]/Table5[[#This Row],[SizTB]]</f>
        <v>44.548349999999999</v>
      </c>
      <c r="Y26" s="10">
        <f>Table5[[#This Row],[$PerTB]]/CompareWarrYrs</f>
        <v>8.9096700000000002</v>
      </c>
      <c r="Z26" s="7"/>
      <c r="AA26" s="58">
        <f>(((Table5[[#This Row],[Watts Active]]*Power_On_Hours_Year/1000)*Active_Duty_Cycle)+((Table5[[#This Row],[Watts Idle]]*Power_On_Hours_Year/1000)*(100%-Active_Duty_Cycle)))*CostPerKWH</f>
        <v>6.486662400000001</v>
      </c>
      <c r="AB26" s="59">
        <f>Table5[[#This Row],[Energy$year]]/Table5[[#This Row],[SizTB]]</f>
        <v>3.2433312000000005</v>
      </c>
      <c r="AC26" s="51"/>
    </row>
    <row r="27" spans="1:29" x14ac:dyDescent="0.25">
      <c r="A27" s="1">
        <v>43014</v>
      </c>
      <c r="B27" t="s">
        <v>10</v>
      </c>
      <c r="C27" s="122" t="s">
        <v>11</v>
      </c>
      <c r="D27" s="37"/>
      <c r="E27" s="134">
        <v>3.5</v>
      </c>
      <c r="F27" s="119">
        <v>3</v>
      </c>
      <c r="G27" s="53">
        <v>5400</v>
      </c>
      <c r="H27" s="5">
        <v>6</v>
      </c>
      <c r="I27" s="5">
        <v>15</v>
      </c>
      <c r="J27" s="86">
        <f>(Table5[[#This Row],[RPM]]/5400-1)</f>
        <v>0</v>
      </c>
      <c r="K27" s="56">
        <v>210</v>
      </c>
      <c r="L27">
        <v>2</v>
      </c>
      <c r="M27" s="47">
        <v>600000</v>
      </c>
      <c r="N27">
        <v>55</v>
      </c>
      <c r="O27" s="47"/>
      <c r="P27" s="46">
        <f t="shared" si="2"/>
        <v>100000000000000</v>
      </c>
      <c r="Q27" s="74">
        <f>2.5*12</f>
        <v>30</v>
      </c>
      <c r="R27" s="5">
        <v>8</v>
      </c>
      <c r="S27" s="5">
        <v>5.4</v>
      </c>
      <c r="T27" s="75">
        <v>0.75</v>
      </c>
      <c r="U27" s="70">
        <v>69.989999999999995</v>
      </c>
      <c r="V27" s="10">
        <f>Table5[[#This Row],[Cost]]/Table5[[#This Row],[SizTB]]</f>
        <v>23.33</v>
      </c>
      <c r="W27" s="11">
        <f>Table5[[#This Row],[Cost]]+((CompareWarrYrs-Table5[[#This Row],[Warnty]])*(Incremental_Warr_Yr*Table5[[#This Row],[Cost]]))</f>
        <v>93.086699999999993</v>
      </c>
      <c r="X27" s="6">
        <f>Table5[[#This Row],[$+Warr]]/Table5[[#This Row],[SizTB]]</f>
        <v>31.028899999999997</v>
      </c>
      <c r="Y27" s="10">
        <f>Table5[[#This Row],[$PerTB]]/CompareWarrYrs</f>
        <v>6.205779999999999</v>
      </c>
      <c r="Z27" s="7"/>
      <c r="AA27" s="58">
        <f>(((Table5[[#This Row],[Watts Active]]*Power_On_Hours_Year/1000)*Active_Duty_Cycle)+((Table5[[#This Row],[Watts Idle]]*Power_On_Hours_Year/1000)*(100%-Active_Duty_Cycle)))*CostPerKWH</f>
        <v>6.486662400000001</v>
      </c>
      <c r="AB27" s="59">
        <f>Table5[[#This Row],[Energy$year]]/Table5[[#This Row],[SizTB]]</f>
        <v>2.1622208000000005</v>
      </c>
      <c r="AC27" s="51"/>
    </row>
    <row r="28" spans="1:29" x14ac:dyDescent="0.25">
      <c r="A28" s="1">
        <v>43019</v>
      </c>
      <c r="B28" t="s">
        <v>10</v>
      </c>
      <c r="C28" s="122" t="s">
        <v>11</v>
      </c>
      <c r="D28" s="37"/>
      <c r="E28" s="134">
        <v>3.5</v>
      </c>
      <c r="F28" s="119">
        <v>4</v>
      </c>
      <c r="G28" s="53">
        <v>5400</v>
      </c>
      <c r="H28" s="5">
        <v>6</v>
      </c>
      <c r="I28" s="5">
        <v>15</v>
      </c>
      <c r="J28" s="86">
        <f>(Table5[[#This Row],[RPM]]/5400-1)</f>
        <v>0</v>
      </c>
      <c r="K28" s="56">
        <v>190</v>
      </c>
      <c r="L28">
        <v>2</v>
      </c>
      <c r="M28" s="47">
        <v>600000</v>
      </c>
      <c r="N28">
        <v>55</v>
      </c>
      <c r="O28" s="47"/>
      <c r="P28" s="46">
        <f t="shared" si="2"/>
        <v>100000000000000</v>
      </c>
      <c r="Q28" s="74">
        <v>24</v>
      </c>
      <c r="R28" s="5">
        <v>5</v>
      </c>
      <c r="S28" s="5">
        <v>2.5</v>
      </c>
      <c r="T28" s="75">
        <v>0.25</v>
      </c>
      <c r="U28" s="70">
        <v>114.99</v>
      </c>
      <c r="V28" s="10">
        <f>Table5[[#This Row],[Cost]]/Table5[[#This Row],[SizTB]]</f>
        <v>28.747499999999999</v>
      </c>
      <c r="W28" s="11">
        <f>Table5[[#This Row],[Cost]]+((CompareWarrYrs-Table5[[#This Row],[Warnty]])*(Incremental_Warr_Yr*Table5[[#This Row],[Cost]]))</f>
        <v>152.9367</v>
      </c>
      <c r="X28" s="6">
        <f>Table5[[#This Row],[$+Warr]]/Table5[[#This Row],[SizTB]]</f>
        <v>38.234175</v>
      </c>
      <c r="Y28" s="10">
        <f>Table5[[#This Row],[$PerTB]]/CompareWarrYrs</f>
        <v>7.6468350000000003</v>
      </c>
      <c r="Z28" s="7"/>
      <c r="AA28" s="58">
        <f>(((Table5[[#This Row],[Watts Active]]*Power_On_Hours_Year/1000)*Active_Duty_Cycle)+((Table5[[#This Row],[Watts Idle]]*Power_On_Hours_Year/1000)*(100%-Active_Duty_Cycle)))*CostPerKWH</f>
        <v>3.2871600000000001</v>
      </c>
      <c r="AB28" s="59">
        <f>Table5[[#This Row],[Energy$year]]/Table5[[#This Row],[SizTB]]</f>
        <v>0.82179000000000002</v>
      </c>
      <c r="AC28" s="51"/>
    </row>
    <row r="29" spans="1:29" x14ac:dyDescent="0.25">
      <c r="A29" s="1">
        <v>43019</v>
      </c>
      <c r="B29" t="s">
        <v>10</v>
      </c>
      <c r="C29" s="122" t="s">
        <v>11</v>
      </c>
      <c r="D29" s="37"/>
      <c r="E29" s="134">
        <v>2.5</v>
      </c>
      <c r="F29" s="119">
        <v>1</v>
      </c>
      <c r="G29" s="53">
        <v>5400</v>
      </c>
      <c r="H29" s="5"/>
      <c r="I29" s="5"/>
      <c r="J29" s="86">
        <f>(Table5[[#This Row],[RPM]]/5400-1)</f>
        <v>0</v>
      </c>
      <c r="K29" s="56">
        <v>140</v>
      </c>
      <c r="L29">
        <v>2</v>
      </c>
      <c r="M29" s="47">
        <v>600000</v>
      </c>
      <c r="O29" s="47"/>
      <c r="P29" s="46">
        <f t="shared" si="2"/>
        <v>100000000000000</v>
      </c>
      <c r="Q29" s="74">
        <f>1*5</f>
        <v>5</v>
      </c>
      <c r="R29" s="5">
        <v>1.7</v>
      </c>
      <c r="S29" s="5">
        <v>0.45</v>
      </c>
      <c r="T29" s="75"/>
      <c r="U29" s="70">
        <v>49.99</v>
      </c>
      <c r="V29" s="10">
        <f>Table5[[#This Row],[Cost]]/Table5[[#This Row],[SizTB]]</f>
        <v>49.99</v>
      </c>
      <c r="W29" s="11">
        <f>Table5[[#This Row],[Cost]]+((CompareWarrYrs-Table5[[#This Row],[Warnty]])*(Incremental_Warr_Yr*Table5[[#This Row],[Cost]]))</f>
        <v>66.486699999999999</v>
      </c>
      <c r="X29" s="6">
        <f>Table5[[#This Row],[$+Warr]]/Table5[[#This Row],[SizTB]]</f>
        <v>66.486699999999999</v>
      </c>
      <c r="Y29" s="10">
        <f>Table5[[#This Row],[$PerTB]]/CompareWarrYrs</f>
        <v>13.29734</v>
      </c>
      <c r="Z29" s="7"/>
      <c r="AA29" s="58">
        <f>(((Table5[[#This Row],[Watts Active]]*Power_On_Hours_Year/1000)*Active_Duty_Cycle)+((Table5[[#This Row],[Watts Idle]]*Power_On_Hours_Year/1000)*(100%-Active_Duty_Cycle)))*CostPerKWH</f>
        <v>0.76700400000000002</v>
      </c>
      <c r="AB29" s="59">
        <f>Table5[[#This Row],[Energy$year]]/Table5[[#This Row],[SizTB]]</f>
        <v>0.76700400000000002</v>
      </c>
      <c r="AC29" s="51"/>
    </row>
    <row r="30" spans="1:29" x14ac:dyDescent="0.25">
      <c r="A30" s="1">
        <v>43019</v>
      </c>
      <c r="B30" t="s">
        <v>10</v>
      </c>
      <c r="C30" s="122" t="s">
        <v>11</v>
      </c>
      <c r="D30" s="37"/>
      <c r="E30" s="134">
        <v>2.5</v>
      </c>
      <c r="F30" s="119">
        <v>2</v>
      </c>
      <c r="G30" s="53">
        <v>5400</v>
      </c>
      <c r="H30" s="5"/>
      <c r="I30" s="5"/>
      <c r="J30" s="86">
        <f>(Table5[[#This Row],[RPM]]/5400-1)</f>
        <v>0</v>
      </c>
      <c r="K30" s="56">
        <v>140</v>
      </c>
      <c r="L30">
        <v>2</v>
      </c>
      <c r="M30" s="47">
        <v>600000</v>
      </c>
      <c r="O30" s="47"/>
      <c r="P30" s="46">
        <f t="shared" si="2"/>
        <v>100000000000000</v>
      </c>
      <c r="Q30" s="74">
        <f>1*5</f>
        <v>5</v>
      </c>
      <c r="R30" s="5">
        <v>1.8</v>
      </c>
      <c r="S30" s="5">
        <v>0.5</v>
      </c>
      <c r="T30" s="75"/>
      <c r="U30" s="70">
        <v>66.989999999999995</v>
      </c>
      <c r="V30" s="10">
        <f>Table5[[#This Row],[Cost]]/Table5[[#This Row],[SizTB]]</f>
        <v>33.494999999999997</v>
      </c>
      <c r="W30" s="11">
        <f>Table5[[#This Row],[Cost]]+((CompareWarrYrs-Table5[[#This Row],[Warnty]])*(Incremental_Warr_Yr*Table5[[#This Row],[Cost]]))</f>
        <v>89.096699999999998</v>
      </c>
      <c r="X30" s="6">
        <f>Table5[[#This Row],[$+Warr]]/Table5[[#This Row],[SizTB]]</f>
        <v>44.548349999999999</v>
      </c>
      <c r="Y30" s="10">
        <f>Table5[[#This Row],[$PerTB]]/CompareWarrYrs</f>
        <v>8.9096700000000002</v>
      </c>
      <c r="Z30" s="7"/>
      <c r="AA30" s="58">
        <f>(((Table5[[#This Row],[Watts Active]]*Power_On_Hours_Year/1000)*Active_Duty_Cycle)+((Table5[[#This Row],[Watts Idle]]*Power_On_Hours_Year/1000)*(100%-Active_Duty_Cycle)))*CostPerKWH</f>
        <v>0.83274720000000002</v>
      </c>
      <c r="AB30" s="59">
        <f>Table5[[#This Row],[Energy$year]]/Table5[[#This Row],[SizTB]]</f>
        <v>0.41637360000000001</v>
      </c>
      <c r="AC30" s="51"/>
    </row>
    <row r="31" spans="1:29" x14ac:dyDescent="0.25">
      <c r="A31" s="1">
        <v>43019</v>
      </c>
      <c r="B31" t="s">
        <v>10</v>
      </c>
      <c r="C31" s="122" t="s">
        <v>11</v>
      </c>
      <c r="D31" s="37"/>
      <c r="E31" s="134">
        <v>2.5</v>
      </c>
      <c r="F31" s="119">
        <v>3</v>
      </c>
      <c r="G31" s="53">
        <v>5400</v>
      </c>
      <c r="H31" s="5"/>
      <c r="I31" s="5"/>
      <c r="J31" s="86">
        <f>(Table5[[#This Row],[RPM]]/5400-1)</f>
        <v>0</v>
      </c>
      <c r="K31" s="56">
        <v>140</v>
      </c>
      <c r="L31">
        <v>2</v>
      </c>
      <c r="M31" s="47">
        <v>600000</v>
      </c>
      <c r="O31" s="47"/>
      <c r="P31" s="46">
        <f t="shared" si="2"/>
        <v>100000000000000</v>
      </c>
      <c r="Q31" s="74">
        <f>1.2*5</f>
        <v>6</v>
      </c>
      <c r="R31" s="5">
        <v>2.1</v>
      </c>
      <c r="S31" s="5">
        <v>1.1000000000000001</v>
      </c>
      <c r="T31" s="75"/>
      <c r="U31" s="70">
        <v>89.99</v>
      </c>
      <c r="V31" s="10">
        <f>Table5[[#This Row],[Cost]]/Table5[[#This Row],[SizTB]]</f>
        <v>29.996666666666666</v>
      </c>
      <c r="W31" s="11">
        <f>Table5[[#This Row],[Cost]]+((CompareWarrYrs-Table5[[#This Row],[Warnty]])*(Incremental_Warr_Yr*Table5[[#This Row],[Cost]]))</f>
        <v>119.6867</v>
      </c>
      <c r="X31" s="6">
        <f>Table5[[#This Row],[$+Warr]]/Table5[[#This Row],[SizTB]]</f>
        <v>39.895566666666667</v>
      </c>
      <c r="Y31" s="10">
        <f>Table5[[#This Row],[$PerTB]]/CompareWarrYrs</f>
        <v>7.9791133333333333</v>
      </c>
      <c r="Z31" s="7"/>
      <c r="AA31" s="58">
        <f>(((Table5[[#This Row],[Watts Active]]*Power_On_Hours_Year/1000)*Active_Duty_Cycle)+((Table5[[#This Row],[Watts Idle]]*Power_On_Hours_Year/1000)*(100%-Active_Duty_Cycle)))*CostPerKWH</f>
        <v>1.4244360000000003</v>
      </c>
      <c r="AB31" s="59">
        <f>Table5[[#This Row],[Energy$year]]/Table5[[#This Row],[SizTB]]</f>
        <v>0.47481200000000007</v>
      </c>
      <c r="AC31" s="51"/>
    </row>
    <row r="32" spans="1:29" x14ac:dyDescent="0.25">
      <c r="A32" s="1">
        <v>43019</v>
      </c>
      <c r="B32" t="s">
        <v>10</v>
      </c>
      <c r="C32" s="122" t="s">
        <v>11</v>
      </c>
      <c r="D32" s="37"/>
      <c r="E32" s="134">
        <v>2.5</v>
      </c>
      <c r="F32" s="119">
        <v>4</v>
      </c>
      <c r="G32" s="53">
        <v>5400</v>
      </c>
      <c r="H32" s="5"/>
      <c r="I32" s="5"/>
      <c r="J32" s="86">
        <f>(Table5[[#This Row],[RPM]]/5400-1)</f>
        <v>0</v>
      </c>
      <c r="K32" s="56">
        <v>140</v>
      </c>
      <c r="L32">
        <v>2</v>
      </c>
      <c r="M32" s="47">
        <v>600000</v>
      </c>
      <c r="O32" s="47"/>
      <c r="P32" s="46">
        <f t="shared" si="2"/>
        <v>100000000000000</v>
      </c>
      <c r="Q32" s="74">
        <f>1.2*5</f>
        <v>6</v>
      </c>
      <c r="R32" s="5">
        <v>2.1</v>
      </c>
      <c r="S32" s="5">
        <v>1.1000000000000001</v>
      </c>
      <c r="T32" s="75"/>
      <c r="U32" s="70">
        <v>114.99</v>
      </c>
      <c r="V32" s="10">
        <f>Table5[[#This Row],[Cost]]/Table5[[#This Row],[SizTB]]</f>
        <v>28.747499999999999</v>
      </c>
      <c r="W32" s="11">
        <f>Table5[[#This Row],[Cost]]+((CompareWarrYrs-Table5[[#This Row],[Warnty]])*(Incremental_Warr_Yr*Table5[[#This Row],[Cost]]))</f>
        <v>152.9367</v>
      </c>
      <c r="X32" s="6">
        <f>Table5[[#This Row],[$+Warr]]/Table5[[#This Row],[SizTB]]</f>
        <v>38.234175</v>
      </c>
      <c r="Y32" s="10">
        <f>Table5[[#This Row],[$PerTB]]/CompareWarrYrs</f>
        <v>7.6468350000000003</v>
      </c>
      <c r="Z32" s="7"/>
      <c r="AA32" s="58">
        <f>(((Table5[[#This Row],[Watts Active]]*Power_On_Hours_Year/1000)*Active_Duty_Cycle)+((Table5[[#This Row],[Watts Idle]]*Power_On_Hours_Year/1000)*(100%-Active_Duty_Cycle)))*CostPerKWH</f>
        <v>1.4244360000000003</v>
      </c>
      <c r="AB32" s="59">
        <f>Table5[[#This Row],[Energy$year]]/Table5[[#This Row],[SizTB]]</f>
        <v>0.35610900000000006</v>
      </c>
      <c r="AC32" s="51"/>
    </row>
    <row r="33" spans="1:29" x14ac:dyDescent="0.25">
      <c r="A33" s="1">
        <v>42947</v>
      </c>
      <c r="B33" t="s">
        <v>10</v>
      </c>
      <c r="C33" s="122" t="s">
        <v>11</v>
      </c>
      <c r="D33" s="37"/>
      <c r="E33" s="134">
        <v>2.5</v>
      </c>
      <c r="F33" s="119">
        <v>5</v>
      </c>
      <c r="G33" s="53">
        <v>5400</v>
      </c>
      <c r="H33" s="5"/>
      <c r="I33" s="5"/>
      <c r="J33" s="86">
        <f>(Table5[[#This Row],[RPM]]/5400-1)</f>
        <v>0</v>
      </c>
      <c r="K33" s="56">
        <v>140</v>
      </c>
      <c r="L33">
        <v>2</v>
      </c>
      <c r="M33" s="47">
        <v>600000</v>
      </c>
      <c r="O33" s="47"/>
      <c r="P33" s="46">
        <f t="shared" si="2"/>
        <v>100000000000000</v>
      </c>
      <c r="Q33" s="74">
        <f>1.2*5</f>
        <v>6</v>
      </c>
      <c r="R33" s="5">
        <v>2.1</v>
      </c>
      <c r="S33" s="5">
        <v>1.1000000000000001</v>
      </c>
      <c r="T33" s="75"/>
      <c r="U33" s="70">
        <v>209.99</v>
      </c>
      <c r="V33" s="10">
        <f>Table5[[#This Row],[Cost]]/Table5[[#This Row],[SizTB]]</f>
        <v>41.998000000000005</v>
      </c>
      <c r="W33" s="11">
        <f>Table5[[#This Row],[Cost]]+((CompareWarrYrs-Table5[[#This Row],[Warnty]])*(Incremental_Warr_Yr*Table5[[#This Row],[Cost]]))</f>
        <v>279.2867</v>
      </c>
      <c r="X33" s="6">
        <f>Table5[[#This Row],[$+Warr]]/Table5[[#This Row],[SizTB]]</f>
        <v>55.857340000000001</v>
      </c>
      <c r="Y33" s="10">
        <f>Table5[[#This Row],[$PerTB]]/CompareWarrYrs</f>
        <v>11.171468000000001</v>
      </c>
      <c r="Z33" s="7"/>
      <c r="AA33" s="58">
        <f>(((Table5[[#This Row],[Watts Active]]*Power_On_Hours_Year/1000)*Active_Duty_Cycle)+((Table5[[#This Row],[Watts Idle]]*Power_On_Hours_Year/1000)*(100%-Active_Duty_Cycle)))*CostPerKWH</f>
        <v>1.4244360000000003</v>
      </c>
      <c r="AB33" s="59">
        <f>Table5[[#This Row],[Energy$year]]/Table5[[#This Row],[SizTB]]</f>
        <v>0.28488720000000006</v>
      </c>
      <c r="AC33" s="51"/>
    </row>
    <row r="34" spans="1:29" x14ac:dyDescent="0.25">
      <c r="A34" s="1">
        <v>43019</v>
      </c>
      <c r="B34" t="s">
        <v>10</v>
      </c>
      <c r="C34" s="122" t="s">
        <v>18</v>
      </c>
      <c r="D34" s="37"/>
      <c r="E34" s="134">
        <v>3.5</v>
      </c>
      <c r="F34" s="119">
        <v>2</v>
      </c>
      <c r="G34" s="53">
        <v>7200</v>
      </c>
      <c r="H34" s="5">
        <v>4.16</v>
      </c>
      <c r="I34" s="5"/>
      <c r="J34" s="86">
        <f>(Table5[[#This Row],[RPM]]/5400-1)</f>
        <v>0.33333333333333326</v>
      </c>
      <c r="K34" s="56">
        <v>195</v>
      </c>
      <c r="L34">
        <v>5</v>
      </c>
      <c r="M34" s="47">
        <v>600000</v>
      </c>
      <c r="N34">
        <v>180</v>
      </c>
      <c r="O34" s="47"/>
      <c r="P34" s="46">
        <v>1000000000000000</v>
      </c>
      <c r="Q34" s="74">
        <v>24</v>
      </c>
      <c r="R34" s="5">
        <v>7.5</v>
      </c>
      <c r="S34" s="5">
        <v>4.5</v>
      </c>
      <c r="T34" s="75">
        <v>0.8</v>
      </c>
      <c r="U34" s="70">
        <v>127.99</v>
      </c>
      <c r="V34" s="10">
        <f>Table5[[#This Row],[Cost]]/Table5[[#This Row],[SizTB]]</f>
        <v>63.994999999999997</v>
      </c>
      <c r="W34" s="11">
        <f>Table5[[#This Row],[Cost]]+((CompareWarrYrs-Table5[[#This Row],[Warnty]])*(Incremental_Warr_Yr*Table5[[#This Row],[Cost]]))</f>
        <v>127.99</v>
      </c>
      <c r="X34" s="6">
        <f>Table5[[#This Row],[$+Warr]]/Table5[[#This Row],[SizTB]]</f>
        <v>63.994999999999997</v>
      </c>
      <c r="Y34" s="10">
        <f>Table5[[#This Row],[$PerTB]]/CompareWarrYrs</f>
        <v>12.798999999999999</v>
      </c>
      <c r="Z34" s="7"/>
      <c r="AA34" s="58">
        <f>(((Table5[[#This Row],[Watts Active]]*Power_On_Hours_Year/1000)*Active_Duty_Cycle)+((Table5[[#This Row],[Watts Idle]]*Power_On_Hours_Year/1000)*(100%-Active_Duty_Cycle)))*CostPerKWH</f>
        <v>5.5881720000000001</v>
      </c>
      <c r="AB34" s="59">
        <f>Table5[[#This Row],[Energy$year]]/Table5[[#This Row],[SizTB]]</f>
        <v>2.7940860000000001</v>
      </c>
      <c r="AC34" s="51"/>
    </row>
    <row r="35" spans="1:29" x14ac:dyDescent="0.25">
      <c r="A35" s="1">
        <v>43019</v>
      </c>
      <c r="B35" t="s">
        <v>10</v>
      </c>
      <c r="C35" s="122" t="s">
        <v>18</v>
      </c>
      <c r="D35" s="37"/>
      <c r="E35" s="134">
        <v>3.5</v>
      </c>
      <c r="F35" s="119">
        <v>4</v>
      </c>
      <c r="G35" s="53">
        <v>7200</v>
      </c>
      <c r="H35" s="5">
        <v>4.16</v>
      </c>
      <c r="I35" s="5"/>
      <c r="J35" s="86">
        <f>(Table5[[#This Row],[RPM]]/5400-1)</f>
        <v>0.33333333333333326</v>
      </c>
      <c r="K35" s="56">
        <v>214</v>
      </c>
      <c r="L35">
        <v>5</v>
      </c>
      <c r="M35" s="47">
        <v>600000</v>
      </c>
      <c r="N35">
        <v>180</v>
      </c>
      <c r="O35" s="47"/>
      <c r="P35" s="46">
        <v>1000000000000000</v>
      </c>
      <c r="Q35" s="74">
        <v>24</v>
      </c>
      <c r="R35" s="5">
        <v>6.7</v>
      </c>
      <c r="S35" s="5">
        <v>6</v>
      </c>
      <c r="T35" s="75">
        <v>0.6</v>
      </c>
      <c r="U35" s="70">
        <v>174.99</v>
      </c>
      <c r="V35" s="10">
        <f>Table5[[#This Row],[Cost]]/Table5[[#This Row],[SizTB]]</f>
        <v>43.747500000000002</v>
      </c>
      <c r="W35" s="11">
        <f>Table5[[#This Row],[Cost]]+((CompareWarrYrs-Table5[[#This Row],[Warnty]])*(Incremental_Warr_Yr*Table5[[#This Row],[Cost]]))</f>
        <v>174.99</v>
      </c>
      <c r="X35" s="6">
        <f>Table5[[#This Row],[$+Warr]]/Table5[[#This Row],[SizTB]]</f>
        <v>43.747500000000002</v>
      </c>
      <c r="Y35" s="10">
        <f>Table5[[#This Row],[$PerTB]]/CompareWarrYrs</f>
        <v>8.7495000000000012</v>
      </c>
      <c r="Z35" s="7"/>
      <c r="AA35" s="58">
        <f>(((Table5[[#This Row],[Watts Active]]*Power_On_Hours_Year/1000)*Active_Duty_Cycle)+((Table5[[#This Row],[Watts Idle]]*Power_On_Hours_Year/1000)*(100%-Active_Duty_Cycle)))*CostPerKWH</f>
        <v>6.7277208000000002</v>
      </c>
      <c r="AB35" s="59">
        <f>Table5[[#This Row],[Energy$year]]/Table5[[#This Row],[SizTB]]</f>
        <v>1.6819302</v>
      </c>
      <c r="AC35" s="51"/>
    </row>
    <row r="36" spans="1:29" x14ac:dyDescent="0.25">
      <c r="A36" s="1">
        <v>42861</v>
      </c>
      <c r="B36" t="s">
        <v>10</v>
      </c>
      <c r="C36" s="122" t="s">
        <v>18</v>
      </c>
      <c r="D36" s="37"/>
      <c r="E36" s="134">
        <v>3.5</v>
      </c>
      <c r="F36" s="119">
        <v>5</v>
      </c>
      <c r="G36" s="53">
        <v>7200</v>
      </c>
      <c r="H36" s="5">
        <v>4.16</v>
      </c>
      <c r="I36" s="5"/>
      <c r="J36" s="86">
        <f>(Table5[[#This Row],[RPM]]/5400-1)</f>
        <v>0.33333333333333326</v>
      </c>
      <c r="K36" s="56">
        <v>220</v>
      </c>
      <c r="L36">
        <v>5</v>
      </c>
      <c r="M36" s="47">
        <v>300000</v>
      </c>
      <c r="N36">
        <v>300</v>
      </c>
      <c r="O36" s="47"/>
      <c r="P36" s="46">
        <v>1000000000000000</v>
      </c>
      <c r="Q36" s="74">
        <f t="shared" ref="Q36" si="3">12*1.94</f>
        <v>23.28</v>
      </c>
      <c r="R36" s="5">
        <v>8.3699999999999992</v>
      </c>
      <c r="S36" s="5">
        <v>4.42</v>
      </c>
      <c r="T36" s="75">
        <v>0.8</v>
      </c>
      <c r="U36" s="70">
        <v>214.99</v>
      </c>
      <c r="V36" s="10">
        <f>Table5[[#This Row],[Cost]]/Table5[[#This Row],[SizTB]]</f>
        <v>42.998000000000005</v>
      </c>
      <c r="W36" s="11">
        <f>Table5[[#This Row],[Cost]]+((CompareWarrYrs-Table5[[#This Row],[Warnty]])*(Incremental_Warr_Yr*Table5[[#This Row],[Cost]]))</f>
        <v>214.99</v>
      </c>
      <c r="X36" s="6">
        <f>Table5[[#This Row],[$+Warr]]/Table5[[#This Row],[SizTB]]</f>
        <v>42.998000000000005</v>
      </c>
      <c r="Y36" s="10">
        <f>Table5[[#This Row],[$PerTB]]/CompareWarrYrs</f>
        <v>8.5996000000000006</v>
      </c>
      <c r="Z36" s="7"/>
      <c r="AA36" s="58">
        <f>(((Table5[[#This Row],[Watts Active]]*Power_On_Hours_Year/1000)*Active_Duty_Cycle)+((Table5[[#This Row],[Watts Idle]]*Power_On_Hours_Year/1000)*(100%-Active_Duty_Cycle)))*CostPerKWH</f>
        <v>5.7087012000000001</v>
      </c>
      <c r="AB36" s="59">
        <f>Table5[[#This Row],[Energy$year]]/Table5[[#This Row],[SizTB]]</f>
        <v>1.1417402400000001</v>
      </c>
      <c r="AC36" s="51"/>
    </row>
    <row r="37" spans="1:29" x14ac:dyDescent="0.25">
      <c r="A37" s="1">
        <v>43019</v>
      </c>
      <c r="B37" t="s">
        <v>10</v>
      </c>
      <c r="C37" s="122" t="s">
        <v>18</v>
      </c>
      <c r="D37" s="37"/>
      <c r="E37" s="134">
        <v>3.5</v>
      </c>
      <c r="F37" s="119">
        <v>6</v>
      </c>
      <c r="G37" s="53">
        <v>7200</v>
      </c>
      <c r="H37" s="5">
        <v>4.16</v>
      </c>
      <c r="I37" s="5"/>
      <c r="J37" s="86">
        <f>(Table5[[#This Row],[RPM]]/5400-1)</f>
        <v>0.33333333333333326</v>
      </c>
      <c r="K37" s="56">
        <v>180</v>
      </c>
      <c r="L37">
        <v>5</v>
      </c>
      <c r="M37" s="47">
        <v>300000</v>
      </c>
      <c r="N37">
        <v>300</v>
      </c>
      <c r="O37" s="47"/>
      <c r="P37" s="46">
        <v>1000000000000000</v>
      </c>
      <c r="Q37" s="74">
        <v>24</v>
      </c>
      <c r="R37" s="5">
        <v>9</v>
      </c>
      <c r="S37" s="5">
        <v>7.2</v>
      </c>
      <c r="T37" s="75">
        <v>0.6</v>
      </c>
      <c r="U37" s="70">
        <v>249.99</v>
      </c>
      <c r="V37" s="10">
        <f>Table5[[#This Row],[Cost]]/Table5[[#This Row],[SizTB]]</f>
        <v>41.664999999999999</v>
      </c>
      <c r="W37" s="11">
        <f>Table5[[#This Row],[Cost]]+((CompareWarrYrs-Table5[[#This Row],[Warnty]])*(Incremental_Warr_Yr*Table5[[#This Row],[Cost]]))</f>
        <v>249.99</v>
      </c>
      <c r="X37" s="6">
        <f>Table5[[#This Row],[$+Warr]]/Table5[[#This Row],[SizTB]]</f>
        <v>41.664999999999999</v>
      </c>
      <c r="Y37" s="10">
        <f>Table5[[#This Row],[$PerTB]]/CompareWarrYrs</f>
        <v>8.3330000000000002</v>
      </c>
      <c r="Z37" s="7"/>
      <c r="AA37" s="58">
        <f>(((Table5[[#This Row],[Watts Active]]*Power_On_Hours_Year/1000)*Active_Duty_Cycle)+((Table5[[#This Row],[Watts Idle]]*Power_On_Hours_Year/1000)*(100%-Active_Duty_Cycle)))*CostPerKWH</f>
        <v>8.2836432000000002</v>
      </c>
      <c r="AB37" s="59">
        <f>Table5[[#This Row],[Energy$year]]/Table5[[#This Row],[SizTB]]</f>
        <v>1.3806072</v>
      </c>
      <c r="AC37" s="51"/>
    </row>
    <row r="38" spans="1:29" x14ac:dyDescent="0.25">
      <c r="A38" s="1">
        <v>43019</v>
      </c>
      <c r="B38" t="s">
        <v>10</v>
      </c>
      <c r="C38" s="122" t="s">
        <v>18</v>
      </c>
      <c r="D38" s="37"/>
      <c r="E38" s="134">
        <v>3.5</v>
      </c>
      <c r="F38" s="119">
        <v>8</v>
      </c>
      <c r="G38" s="53">
        <v>7200</v>
      </c>
      <c r="H38" s="5">
        <v>4.16</v>
      </c>
      <c r="I38" s="5"/>
      <c r="J38" s="86">
        <f>(Table5[[#This Row],[RPM]]/5400-1)</f>
        <v>0.33333333333333326</v>
      </c>
      <c r="K38" s="56">
        <v>220</v>
      </c>
      <c r="L38">
        <v>5</v>
      </c>
      <c r="M38" s="47">
        <v>300000</v>
      </c>
      <c r="N38">
        <v>300</v>
      </c>
      <c r="O38" s="47"/>
      <c r="P38" s="46">
        <v>1000000000000000</v>
      </c>
      <c r="Q38" s="74">
        <f>12*2</f>
        <v>24</v>
      </c>
      <c r="R38" s="5">
        <v>6.8</v>
      </c>
      <c r="S38" s="5">
        <v>4.5</v>
      </c>
      <c r="T38" s="75">
        <v>0.8</v>
      </c>
      <c r="U38" s="70">
        <v>324.99</v>
      </c>
      <c r="V38" s="10">
        <f>Table5[[#This Row],[Cost]]/Table5[[#This Row],[SizTB]]</f>
        <v>40.623750000000001</v>
      </c>
      <c r="W38" s="11">
        <f>Table5[[#This Row],[Cost]]+((CompareWarrYrs-Table5[[#This Row],[Warnty]])*(Incremental_Warr_Yr*Table5[[#This Row],[Cost]]))</f>
        <v>324.99</v>
      </c>
      <c r="X38" s="6">
        <f>Table5[[#This Row],[$+Warr]]/Table5[[#This Row],[SizTB]]</f>
        <v>40.623750000000001</v>
      </c>
      <c r="Y38" s="10">
        <f>Table5[[#This Row],[$PerTB]]/CompareWarrYrs</f>
        <v>8.1247500000000006</v>
      </c>
      <c r="Z38" s="7"/>
      <c r="AA38" s="58">
        <f>(((Table5[[#This Row],[Watts Active]]*Power_On_Hours_Year/1000)*Active_Duty_Cycle)+((Table5[[#This Row],[Watts Idle]]*Power_On_Hours_Year/1000)*(100%-Active_Duty_Cycle)))*CostPerKWH</f>
        <v>5.4347712000000001</v>
      </c>
      <c r="AB38" s="59">
        <f>Table5[[#This Row],[Energy$year]]/Table5[[#This Row],[SizTB]]</f>
        <v>0.67934640000000002</v>
      </c>
      <c r="AC38" s="51"/>
    </row>
    <row r="39" spans="1:29" x14ac:dyDescent="0.25">
      <c r="A39" s="1">
        <v>43019</v>
      </c>
      <c r="B39" t="s">
        <v>10</v>
      </c>
      <c r="C39" s="122" t="s">
        <v>18</v>
      </c>
      <c r="D39" s="37"/>
      <c r="E39" s="134">
        <v>3.5</v>
      </c>
      <c r="F39" s="119">
        <v>10</v>
      </c>
      <c r="G39" s="53">
        <v>7200</v>
      </c>
      <c r="H39" s="5">
        <v>4.16</v>
      </c>
      <c r="I39" s="5"/>
      <c r="J39" s="86">
        <f>(Table5[[#This Row],[RPM]]/5400-1)</f>
        <v>0.33333333333333326</v>
      </c>
      <c r="K39" s="56">
        <v>220</v>
      </c>
      <c r="L39">
        <v>5</v>
      </c>
      <c r="M39" s="47">
        <v>300000</v>
      </c>
      <c r="N39">
        <v>300</v>
      </c>
      <c r="O39" s="47"/>
      <c r="P39" s="46">
        <v>1000000000000000</v>
      </c>
      <c r="Q39" s="74">
        <f>12*1.8</f>
        <v>21.6</v>
      </c>
      <c r="R39" s="5">
        <v>6.8</v>
      </c>
      <c r="S39" s="5">
        <v>4.5</v>
      </c>
      <c r="T39" s="75">
        <v>0.8</v>
      </c>
      <c r="U39" s="70">
        <v>424.99</v>
      </c>
      <c r="V39" s="10">
        <f>Table5[[#This Row],[Cost]]/Table5[[#This Row],[SizTB]]</f>
        <v>42.499000000000002</v>
      </c>
      <c r="W39" s="11">
        <f>Table5[[#This Row],[Cost]]+((CompareWarrYrs-Table5[[#This Row],[Warnty]])*(Incremental_Warr_Yr*Table5[[#This Row],[Cost]]))</f>
        <v>424.99</v>
      </c>
      <c r="X39" s="6">
        <f>Table5[[#This Row],[$+Warr]]/Table5[[#This Row],[SizTB]]</f>
        <v>42.499000000000002</v>
      </c>
      <c r="Y39" s="10">
        <f>Table5[[#This Row],[$PerTB]]/CompareWarrYrs</f>
        <v>8.4998000000000005</v>
      </c>
      <c r="Z39" s="7"/>
      <c r="AA39" s="58">
        <f>(((Table5[[#This Row],[Watts Active]]*Power_On_Hours_Year/1000)*Active_Duty_Cycle)+((Table5[[#This Row],[Watts Idle]]*Power_On_Hours_Year/1000)*(100%-Active_Duty_Cycle)))*CostPerKWH</f>
        <v>5.4347712000000001</v>
      </c>
      <c r="AB39" s="59">
        <f>Table5[[#This Row],[Energy$year]]/Table5[[#This Row],[SizTB]]</f>
        <v>0.54347712000000004</v>
      </c>
      <c r="AC39" s="51"/>
    </row>
    <row r="40" spans="1:29" x14ac:dyDescent="0.25">
      <c r="A40" s="1">
        <v>43019</v>
      </c>
      <c r="B40" t="s">
        <v>10</v>
      </c>
      <c r="C40" s="122" t="s">
        <v>18</v>
      </c>
      <c r="D40" s="142"/>
      <c r="E40" s="134">
        <v>3.5</v>
      </c>
      <c r="F40" s="119">
        <v>12</v>
      </c>
      <c r="G40" s="53">
        <v>7200</v>
      </c>
      <c r="H40" s="5"/>
      <c r="I40" s="5"/>
      <c r="J40" s="86">
        <f>(Table5[[#This Row],[RPM]]/5400-1)</f>
        <v>0.33333333333333326</v>
      </c>
      <c r="K40" s="56">
        <v>250</v>
      </c>
      <c r="L40">
        <v>5</v>
      </c>
      <c r="M40" s="47"/>
      <c r="N40">
        <v>300</v>
      </c>
      <c r="O40" s="47"/>
      <c r="P40" s="46"/>
      <c r="Q40" s="74"/>
      <c r="R40" s="5"/>
      <c r="S40" s="5"/>
      <c r="T40" s="75"/>
      <c r="U40" s="70">
        <v>524.99</v>
      </c>
      <c r="V40" s="10">
        <f>Table5[[#This Row],[Cost]]/Table5[[#This Row],[SizTB]]</f>
        <v>43.749166666666667</v>
      </c>
      <c r="W40" s="11">
        <f>Table5[[#This Row],[Cost]]+((CompareWarrYrs-Table5[[#This Row],[Warnty]])*(Incremental_Warr_Yr*Table5[[#This Row],[Cost]]))</f>
        <v>524.99</v>
      </c>
      <c r="X40" s="6">
        <f>Table5[[#This Row],[$+Warr]]/Table5[[#This Row],[SizTB]]</f>
        <v>43.749166666666667</v>
      </c>
      <c r="Y40" s="10">
        <f>Table5[[#This Row],[$PerTB]]/CompareWarrYrs</f>
        <v>8.7498333333333331</v>
      </c>
      <c r="Z40" s="7"/>
      <c r="AA40" s="58"/>
      <c r="AB40" s="59"/>
      <c r="AC40" s="51"/>
    </row>
    <row r="41" spans="1:29" x14ac:dyDescent="0.25">
      <c r="A41" s="1">
        <v>42981</v>
      </c>
      <c r="B41" t="s">
        <v>10</v>
      </c>
      <c r="C41" s="122" t="s">
        <v>52</v>
      </c>
      <c r="D41" s="37" t="s">
        <v>57</v>
      </c>
      <c r="E41" s="134">
        <v>3.5</v>
      </c>
      <c r="F41" s="119">
        <v>1</v>
      </c>
      <c r="G41" s="53">
        <v>7200</v>
      </c>
      <c r="H41" s="5">
        <v>4.16</v>
      </c>
      <c r="I41" s="5"/>
      <c r="J41" s="86">
        <f>(Table5[[#This Row],[RPM]]/5400-1)</f>
        <v>0.33333333333333326</v>
      </c>
      <c r="K41" s="56">
        <v>175</v>
      </c>
      <c r="L41">
        <v>5</v>
      </c>
      <c r="M41" s="47"/>
      <c r="O41" s="47">
        <v>2000000</v>
      </c>
      <c r="P41" s="46">
        <v>1000000000000000</v>
      </c>
      <c r="Q41" s="74">
        <f>2.6*12</f>
        <v>31.200000000000003</v>
      </c>
      <c r="R41" s="5">
        <v>8.08</v>
      </c>
      <c r="S41" s="5">
        <v>4.45</v>
      </c>
      <c r="T41" s="75">
        <v>0.8</v>
      </c>
      <c r="U41" s="70">
        <v>90</v>
      </c>
      <c r="V41" s="10">
        <f>Table5[[#This Row],[Cost]]/Table5[[#This Row],[SizTB]]</f>
        <v>90</v>
      </c>
      <c r="W41" s="11">
        <f>Table5[[#This Row],[Cost]]+((CompareWarrYrs-Table5[[#This Row],[Warnty]])*(Incremental_Warr_Yr*Table5[[#This Row],[Cost]]))</f>
        <v>90</v>
      </c>
      <c r="X41" s="6">
        <f>Table5[[#This Row],[$+Warr]]/Table5[[#This Row],[SizTB]]</f>
        <v>90</v>
      </c>
      <c r="Y41" s="10">
        <f>Table5[[#This Row],[$PerTB]]/CompareWarrYrs</f>
        <v>18</v>
      </c>
      <c r="Z41" s="13"/>
      <c r="AA41" s="58">
        <f>(((Table5[[#This Row],[Watts Active]]*Power_On_Hours_Year/1000)*Active_Duty_Cycle)+((Table5[[#This Row],[Watts Idle]]*Power_On_Hours_Year/1000)*(100%-Active_Duty_Cycle)))*CostPerKWH</f>
        <v>5.6714467200000014</v>
      </c>
      <c r="AB41" s="59">
        <f>Table5[[#This Row],[Energy$year]]/Table5[[#This Row],[SizTB]]</f>
        <v>5.6714467200000014</v>
      </c>
      <c r="AC41" s="51"/>
    </row>
    <row r="42" spans="1:29" x14ac:dyDescent="0.25">
      <c r="A42" s="1">
        <v>43019</v>
      </c>
      <c r="B42" t="s">
        <v>10</v>
      </c>
      <c r="C42" s="122" t="s">
        <v>52</v>
      </c>
      <c r="D42" s="37" t="s">
        <v>57</v>
      </c>
      <c r="E42" s="134">
        <v>3.5</v>
      </c>
      <c r="F42" s="119">
        <v>2</v>
      </c>
      <c r="G42" s="53">
        <v>7200</v>
      </c>
      <c r="H42" s="5">
        <v>4.16</v>
      </c>
      <c r="I42" s="5"/>
      <c r="J42" s="86">
        <f>(Table5[[#This Row],[RPM]]/5400-1)</f>
        <v>0.33333333333333326</v>
      </c>
      <c r="K42" s="56">
        <v>175</v>
      </c>
      <c r="L42">
        <v>5</v>
      </c>
      <c r="M42" s="47"/>
      <c r="O42" s="47">
        <v>2000000</v>
      </c>
      <c r="P42" s="46">
        <v>1000000000000000</v>
      </c>
      <c r="Q42" s="74">
        <f t="shared" ref="Q42:Q44" si="4">2.6*12</f>
        <v>31.200000000000003</v>
      </c>
      <c r="R42" s="5">
        <v>9.42</v>
      </c>
      <c r="S42" s="5">
        <v>5.17</v>
      </c>
      <c r="T42" s="75">
        <f>0.15*5+0.01*12</f>
        <v>0.87</v>
      </c>
      <c r="U42" s="70">
        <v>164</v>
      </c>
      <c r="V42" s="10">
        <f>Table5[[#This Row],[Cost]]/Table5[[#This Row],[SizTB]]</f>
        <v>82</v>
      </c>
      <c r="W42" s="11">
        <f>Table5[[#This Row],[Cost]]+((CompareWarrYrs-Table5[[#This Row],[Warnty]])*(Incremental_Warr_Yr*Table5[[#This Row],[Cost]]))</f>
        <v>164</v>
      </c>
      <c r="X42" s="6">
        <f>Table5[[#This Row],[$+Warr]]/Table5[[#This Row],[SizTB]]</f>
        <v>82</v>
      </c>
      <c r="Y42" s="10">
        <f>Table5[[#This Row],[$PerTB]]/CompareWarrYrs</f>
        <v>16.399999999999999</v>
      </c>
      <c r="Z42" s="13"/>
      <c r="AA42" s="58">
        <f>(((Table5[[#This Row],[Watts Active]]*Power_On_Hours_Year/1000)*Active_Duty_Cycle)+((Table5[[#This Row],[Watts Idle]]*Power_On_Hours_Year/1000)*(100%-Active_Duty_Cycle)))*CostPerKWH</f>
        <v>6.5962344000000002</v>
      </c>
      <c r="AB42" s="59">
        <f>Table5[[#This Row],[Energy$year]]/Table5[[#This Row],[SizTB]]</f>
        <v>3.2981172000000001</v>
      </c>
      <c r="AC42" s="51"/>
    </row>
    <row r="43" spans="1:29" x14ac:dyDescent="0.25">
      <c r="A43" s="1">
        <v>42981</v>
      </c>
      <c r="B43" t="s">
        <v>10</v>
      </c>
      <c r="C43" s="122" t="s">
        <v>52</v>
      </c>
      <c r="D43" s="37" t="s">
        <v>57</v>
      </c>
      <c r="E43" s="134">
        <v>3.5</v>
      </c>
      <c r="F43" s="119">
        <v>3</v>
      </c>
      <c r="G43" s="53">
        <v>7200</v>
      </c>
      <c r="H43" s="5">
        <v>4.16</v>
      </c>
      <c r="I43" s="5"/>
      <c r="J43" s="86">
        <f>(Table5[[#This Row],[RPM]]/5400-1)</f>
        <v>0.33333333333333326</v>
      </c>
      <c r="K43" s="56">
        <v>175</v>
      </c>
      <c r="L43">
        <v>5</v>
      </c>
      <c r="M43" s="47"/>
      <c r="O43" s="47">
        <v>2000000</v>
      </c>
      <c r="P43" s="46">
        <v>1000000000000000</v>
      </c>
      <c r="Q43" s="74">
        <f t="shared" si="4"/>
        <v>31.200000000000003</v>
      </c>
      <c r="R43" s="5">
        <v>11.27</v>
      </c>
      <c r="S43" s="5">
        <v>6.73</v>
      </c>
      <c r="T43" s="75">
        <f>0.15*5+0.01*12</f>
        <v>0.87</v>
      </c>
      <c r="U43" s="70">
        <v>129.99</v>
      </c>
      <c r="V43" s="10">
        <f>Table5[[#This Row],[Cost]]/Table5[[#This Row],[SizTB]]</f>
        <v>43.330000000000005</v>
      </c>
      <c r="W43" s="11">
        <f>Table5[[#This Row],[Cost]]+((CompareWarrYrs-Table5[[#This Row],[Warnty]])*(Incremental_Warr_Yr*Table5[[#This Row],[Cost]]))</f>
        <v>129.99</v>
      </c>
      <c r="X43" s="6">
        <f>Table5[[#This Row],[$+Warr]]/Table5[[#This Row],[SizTB]]</f>
        <v>43.330000000000005</v>
      </c>
      <c r="Y43" s="10">
        <f>Table5[[#This Row],[$PerTB]]/CompareWarrYrs</f>
        <v>8.6660000000000004</v>
      </c>
      <c r="Z43" s="13"/>
      <c r="AA43" s="58">
        <f>(((Table5[[#This Row],[Watts Active]]*Power_On_Hours_Year/1000)*Active_Duty_Cycle)+((Table5[[#This Row],[Watts Idle]]*Power_On_Hours_Year/1000)*(100%-Active_Duty_Cycle)))*CostPerKWH</f>
        <v>8.3691093600000013</v>
      </c>
      <c r="AB43" s="59">
        <f>Table5[[#This Row],[Energy$year]]/Table5[[#This Row],[SizTB]]</f>
        <v>2.7897031200000004</v>
      </c>
      <c r="AC43" s="51"/>
    </row>
    <row r="44" spans="1:29" x14ac:dyDescent="0.25">
      <c r="A44" s="1">
        <v>43019</v>
      </c>
      <c r="B44" t="s">
        <v>10</v>
      </c>
      <c r="C44" s="122" t="s">
        <v>52</v>
      </c>
      <c r="D44" s="37" t="s">
        <v>57</v>
      </c>
      <c r="E44" s="134">
        <v>3.5</v>
      </c>
      <c r="F44" s="119">
        <v>4</v>
      </c>
      <c r="G44" s="53">
        <v>7200</v>
      </c>
      <c r="H44" s="5">
        <v>4.16</v>
      </c>
      <c r="I44" s="5"/>
      <c r="J44" s="86">
        <f>(Table5[[#This Row],[RPM]]/5400-1)</f>
        <v>0.33333333333333326</v>
      </c>
      <c r="K44" s="56">
        <v>175</v>
      </c>
      <c r="L44">
        <v>5</v>
      </c>
      <c r="M44" s="47"/>
      <c r="O44" s="47">
        <v>2000000</v>
      </c>
      <c r="P44" s="46">
        <v>1000000000000000</v>
      </c>
      <c r="Q44" s="74">
        <f t="shared" si="4"/>
        <v>31.200000000000003</v>
      </c>
      <c r="R44" s="5">
        <v>11.27</v>
      </c>
      <c r="S44" s="5">
        <v>6.73</v>
      </c>
      <c r="T44" s="75">
        <f>0.15*5+0.01*12</f>
        <v>0.87</v>
      </c>
      <c r="U44" s="70">
        <v>175</v>
      </c>
      <c r="V44" s="10">
        <f>Table5[[#This Row],[Cost]]/Table5[[#This Row],[SizTB]]</f>
        <v>43.75</v>
      </c>
      <c r="W44" s="11">
        <f>Table5[[#This Row],[Cost]]+((CompareWarrYrs-Table5[[#This Row],[Warnty]])*(Incremental_Warr_Yr*Table5[[#This Row],[Cost]]))</f>
        <v>175</v>
      </c>
      <c r="X44" s="6">
        <f>Table5[[#This Row],[$+Warr]]/Table5[[#This Row],[SizTB]]</f>
        <v>43.75</v>
      </c>
      <c r="Y44" s="10">
        <f>Table5[[#This Row],[$PerTB]]/CompareWarrYrs</f>
        <v>8.75</v>
      </c>
      <c r="Z44" s="13"/>
      <c r="AA44" s="58">
        <f>(((Table5[[#This Row],[Watts Active]]*Power_On_Hours_Year/1000)*Active_Duty_Cycle)+((Table5[[#This Row],[Watts Idle]]*Power_On_Hours_Year/1000)*(100%-Active_Duty_Cycle)))*CostPerKWH</f>
        <v>8.3691093600000013</v>
      </c>
      <c r="AB44" s="59">
        <f>Table5[[#This Row],[Energy$year]]/Table5[[#This Row],[SizTB]]</f>
        <v>2.0922773400000003</v>
      </c>
      <c r="AC44" s="51"/>
    </row>
    <row r="45" spans="1:29" x14ac:dyDescent="0.25">
      <c r="A45" s="1">
        <v>42971</v>
      </c>
      <c r="B45" t="s">
        <v>10</v>
      </c>
      <c r="C45" s="122" t="s">
        <v>74</v>
      </c>
      <c r="D45" s="37" t="s">
        <v>57</v>
      </c>
      <c r="E45" s="134">
        <v>3.5</v>
      </c>
      <c r="F45" s="119">
        <v>1</v>
      </c>
      <c r="G45" s="53">
        <v>7200</v>
      </c>
      <c r="H45" s="5">
        <v>4.16</v>
      </c>
      <c r="I45" s="5"/>
      <c r="J45" s="86">
        <f>(Table5[[#This Row],[RPM]]/5400-1)</f>
        <v>0.33333333333333326</v>
      </c>
      <c r="K45" s="56">
        <v>215</v>
      </c>
      <c r="L45">
        <v>5</v>
      </c>
      <c r="M45" s="47"/>
      <c r="N45">
        <v>550</v>
      </c>
      <c r="O45" s="47">
        <v>2000000</v>
      </c>
      <c r="P45" s="46">
        <v>1000000000000000</v>
      </c>
      <c r="Q45" s="74"/>
      <c r="R45" s="5">
        <v>5.91</v>
      </c>
      <c r="S45" s="5">
        <v>4.25</v>
      </c>
      <c r="T45" s="75"/>
      <c r="U45" s="70">
        <v>99.99</v>
      </c>
      <c r="V45" s="10">
        <f>Table5[[#This Row],[Cost]]/Table5[[#This Row],[SizTB]]</f>
        <v>99.99</v>
      </c>
      <c r="W45" s="11">
        <f>Table5[[#This Row],[Cost]]+((CompareWarrYrs-Table5[[#This Row],[Warnty]])*(Incremental_Warr_Yr*Table5[[#This Row],[Cost]]))</f>
        <v>99.99</v>
      </c>
      <c r="X45" s="6">
        <f>Table5[[#This Row],[$+Warr]]/Table5[[#This Row],[SizTB]]</f>
        <v>99.99</v>
      </c>
      <c r="Y45" s="10">
        <f>Table5[[#This Row],[$PerTB]]/CompareWarrYrs</f>
        <v>19.997999999999998</v>
      </c>
      <c r="Z45" s="7"/>
      <c r="AA45" s="58">
        <f>(((Table5[[#This Row],[Watts Active]]*Power_On_Hours_Year/1000)*Active_Duty_Cycle)+((Table5[[#This Row],[Watts Idle]]*Power_On_Hours_Year/1000)*(100%-Active_Duty_Cycle)))*CostPerKWH</f>
        <v>5.0205890399999999</v>
      </c>
      <c r="AB45" s="59">
        <f>Table5[[#This Row],[Energy$year]]/Table5[[#This Row],[SizTB]]</f>
        <v>5.0205890399999999</v>
      </c>
      <c r="AC45" s="51"/>
    </row>
    <row r="46" spans="1:29" x14ac:dyDescent="0.25">
      <c r="A46" s="1">
        <v>42970</v>
      </c>
      <c r="B46" t="s">
        <v>10</v>
      </c>
      <c r="C46" s="122" t="s">
        <v>74</v>
      </c>
      <c r="D46" s="37" t="s">
        <v>57</v>
      </c>
      <c r="E46" s="134">
        <v>3.5</v>
      </c>
      <c r="F46" s="119">
        <v>2</v>
      </c>
      <c r="G46" s="53">
        <v>7200</v>
      </c>
      <c r="H46" s="5">
        <v>4.16</v>
      </c>
      <c r="I46" s="5"/>
      <c r="J46" s="86">
        <f>(Table5[[#This Row],[RPM]]/5400-1)</f>
        <v>0.33333333333333326</v>
      </c>
      <c r="K46" s="56">
        <v>226</v>
      </c>
      <c r="L46">
        <v>5</v>
      </c>
      <c r="M46" s="47"/>
      <c r="N46">
        <v>550</v>
      </c>
      <c r="O46" s="47">
        <v>2000000</v>
      </c>
      <c r="P46" s="46">
        <v>1000000000000000</v>
      </c>
      <c r="Q46" s="74"/>
      <c r="R46" s="5">
        <v>5.91</v>
      </c>
      <c r="S46" s="5">
        <v>4.25</v>
      </c>
      <c r="T46" s="75">
        <v>0.6</v>
      </c>
      <c r="U46" s="70">
        <f>119.99*0.9</f>
        <v>107.991</v>
      </c>
      <c r="V46" s="10">
        <f>Table5[[#This Row],[Cost]]/Table5[[#This Row],[SizTB]]</f>
        <v>53.9955</v>
      </c>
      <c r="W46" s="11">
        <f>Table5[[#This Row],[Cost]]+((CompareWarrYrs-Table5[[#This Row],[Warnty]])*(Incremental_Warr_Yr*Table5[[#This Row],[Cost]]))</f>
        <v>107.991</v>
      </c>
      <c r="X46" s="6">
        <f>Table5[[#This Row],[$+Warr]]/Table5[[#This Row],[SizTB]]</f>
        <v>53.9955</v>
      </c>
      <c r="Y46" s="10">
        <f>Table5[[#This Row],[$PerTB]]/CompareWarrYrs</f>
        <v>10.799099999999999</v>
      </c>
      <c r="Z46" s="7"/>
      <c r="AA46" s="58">
        <f>(((Table5[[#This Row],[Watts Active]]*Power_On_Hours_Year/1000)*Active_Duty_Cycle)+((Table5[[#This Row],[Watts Idle]]*Power_On_Hours_Year/1000)*(100%-Active_Duty_Cycle)))*CostPerKWH</f>
        <v>5.0205890399999999</v>
      </c>
      <c r="AB46" s="59">
        <f>Table5[[#This Row],[Energy$year]]/Table5[[#This Row],[SizTB]]</f>
        <v>2.51029452</v>
      </c>
      <c r="AC46" s="51"/>
    </row>
    <row r="47" spans="1:29" x14ac:dyDescent="0.25">
      <c r="A47" s="1">
        <v>42971</v>
      </c>
      <c r="B47" t="s">
        <v>10</v>
      </c>
      <c r="C47" s="122" t="s">
        <v>74</v>
      </c>
      <c r="D47" s="37" t="s">
        <v>57</v>
      </c>
      <c r="E47" s="134">
        <v>3.5</v>
      </c>
      <c r="F47" s="119">
        <v>3</v>
      </c>
      <c r="G47" s="53">
        <v>7200</v>
      </c>
      <c r="H47" s="5">
        <v>4.16</v>
      </c>
      <c r="I47" s="5"/>
      <c r="J47" s="86">
        <f>(Table5[[#This Row],[RPM]]/5400-1)</f>
        <v>0.33333333333333326</v>
      </c>
      <c r="K47" s="56">
        <v>215</v>
      </c>
      <c r="L47">
        <v>5</v>
      </c>
      <c r="M47" s="47"/>
      <c r="N47">
        <v>550</v>
      </c>
      <c r="O47" s="47">
        <v>2000000</v>
      </c>
      <c r="P47" s="46">
        <v>1000000000000000</v>
      </c>
      <c r="Q47" s="74"/>
      <c r="R47" s="5">
        <v>6.9</v>
      </c>
      <c r="S47" s="5">
        <v>5.45</v>
      </c>
      <c r="T47" s="75">
        <v>0.6</v>
      </c>
      <c r="U47" s="70">
        <v>176.92</v>
      </c>
      <c r="V47" s="10">
        <f>Table5[[#This Row],[Cost]]/Table5[[#This Row],[SizTB]]</f>
        <v>58.973333333333329</v>
      </c>
      <c r="W47" s="11">
        <f>Table5[[#This Row],[Cost]]+((CompareWarrYrs-Table5[[#This Row],[Warnty]])*(Incremental_Warr_Yr*Table5[[#This Row],[Cost]]))</f>
        <v>176.92</v>
      </c>
      <c r="X47" s="6">
        <f>Table5[[#This Row],[$+Warr]]/Table5[[#This Row],[SizTB]]</f>
        <v>58.973333333333329</v>
      </c>
      <c r="Y47" s="10">
        <f>Table5[[#This Row],[$PerTB]]/CompareWarrYrs</f>
        <v>11.794666666666666</v>
      </c>
      <c r="Z47" s="7"/>
      <c r="AA47" s="58">
        <f>(((Table5[[#This Row],[Watts Active]]*Power_On_Hours_Year/1000)*Active_Duty_Cycle)+((Table5[[#This Row],[Watts Idle]]*Power_On_Hours_Year/1000)*(100%-Active_Duty_Cycle)))*CostPerKWH</f>
        <v>6.2894328000000002</v>
      </c>
      <c r="AB47" s="59">
        <f>Table5[[#This Row],[Energy$year]]/Table5[[#This Row],[SizTB]]</f>
        <v>2.0964776000000001</v>
      </c>
      <c r="AC47" s="51"/>
    </row>
    <row r="48" spans="1:29" x14ac:dyDescent="0.25">
      <c r="A48" s="1">
        <v>43019</v>
      </c>
      <c r="B48" t="s">
        <v>10</v>
      </c>
      <c r="C48" s="122" t="s">
        <v>74</v>
      </c>
      <c r="D48" s="37" t="s">
        <v>57</v>
      </c>
      <c r="E48" s="134">
        <v>3.5</v>
      </c>
      <c r="F48" s="119">
        <v>4</v>
      </c>
      <c r="G48" s="53">
        <v>7200</v>
      </c>
      <c r="H48" s="5">
        <v>4.16</v>
      </c>
      <c r="I48" s="5"/>
      <c r="J48" s="86">
        <f>(Table5[[#This Row],[RPM]]/5400-1)</f>
        <v>0.33333333333333326</v>
      </c>
      <c r="K48" s="56">
        <v>226</v>
      </c>
      <c r="L48">
        <v>5</v>
      </c>
      <c r="M48" s="47"/>
      <c r="N48">
        <v>550</v>
      </c>
      <c r="O48" s="47">
        <v>2000000</v>
      </c>
      <c r="P48" s="46">
        <v>1000000000000000</v>
      </c>
      <c r="Q48" s="74"/>
      <c r="R48" s="5">
        <v>6.9</v>
      </c>
      <c r="S48" s="5">
        <v>5.45</v>
      </c>
      <c r="T48" s="75">
        <v>0.6</v>
      </c>
      <c r="U48" s="70">
        <v>154.99</v>
      </c>
      <c r="V48" s="10">
        <f>Table5[[#This Row],[Cost]]/Table5[[#This Row],[SizTB]]</f>
        <v>38.747500000000002</v>
      </c>
      <c r="W48" s="11">
        <f>Table5[[#This Row],[Cost]]+((CompareWarrYrs-Table5[[#This Row],[Warnty]])*(Incremental_Warr_Yr*Table5[[#This Row],[Cost]]))</f>
        <v>154.99</v>
      </c>
      <c r="X48" s="6">
        <f>Table5[[#This Row],[$+Warr]]/Table5[[#This Row],[SizTB]]</f>
        <v>38.747500000000002</v>
      </c>
      <c r="Y48" s="10">
        <f>Table5[[#This Row],[$PerTB]]/CompareWarrYrs</f>
        <v>7.7495000000000003</v>
      </c>
      <c r="Z48" s="7"/>
      <c r="AA48" s="58">
        <f>(((Table5[[#This Row],[Watts Active]]*Power_On_Hours_Year/1000)*Active_Duty_Cycle)+((Table5[[#This Row],[Watts Idle]]*Power_On_Hours_Year/1000)*(100%-Active_Duty_Cycle)))*CostPerKWH</f>
        <v>6.2894328000000002</v>
      </c>
      <c r="AB48" s="59">
        <f>Table5[[#This Row],[Energy$year]]/Table5[[#This Row],[SizTB]]</f>
        <v>1.5723582</v>
      </c>
      <c r="AC48" s="51"/>
    </row>
    <row r="49" spans="1:29" x14ac:dyDescent="0.25">
      <c r="A49" s="1">
        <v>42993</v>
      </c>
      <c r="B49" t="s">
        <v>10</v>
      </c>
      <c r="C49" s="122" t="s">
        <v>74</v>
      </c>
      <c r="D49" s="37" t="s">
        <v>57</v>
      </c>
      <c r="E49" s="134">
        <v>3.5</v>
      </c>
      <c r="F49" s="119">
        <v>6</v>
      </c>
      <c r="G49" s="53">
        <v>7200</v>
      </c>
      <c r="H49" s="5">
        <v>4.16</v>
      </c>
      <c r="I49" s="5"/>
      <c r="J49" s="86">
        <f>(Table5[[#This Row],[RPM]]/5400-1)</f>
        <v>0.33333333333333326</v>
      </c>
      <c r="K49" s="56">
        <v>226</v>
      </c>
      <c r="L49">
        <v>5</v>
      </c>
      <c r="M49" s="47"/>
      <c r="N49">
        <v>550</v>
      </c>
      <c r="O49" s="47">
        <v>2000000</v>
      </c>
      <c r="P49" s="46">
        <v>1000000000000000</v>
      </c>
      <c r="Q49" s="74"/>
      <c r="R49" s="5">
        <v>9.8000000000000007</v>
      </c>
      <c r="S49" s="5">
        <v>8.15</v>
      </c>
      <c r="T49" s="75">
        <v>0.6</v>
      </c>
      <c r="U49" s="70">
        <f>244.99*0.9</f>
        <v>220.49100000000001</v>
      </c>
      <c r="V49" s="10">
        <f>Table5[[#This Row],[Cost]]/Table5[[#This Row],[SizTB]]</f>
        <v>36.7485</v>
      </c>
      <c r="W49" s="11">
        <f>Table5[[#This Row],[Cost]]+((CompareWarrYrs-Table5[[#This Row],[Warnty]])*(Incremental_Warr_Yr*Table5[[#This Row],[Cost]]))</f>
        <v>220.49100000000001</v>
      </c>
      <c r="X49" s="6">
        <f>Table5[[#This Row],[$+Warr]]/Table5[[#This Row],[SizTB]]</f>
        <v>36.7485</v>
      </c>
      <c r="Y49" s="10">
        <f>Table5[[#This Row],[$PerTB]]/CompareWarrYrs</f>
        <v>7.3497000000000003</v>
      </c>
      <c r="Z49" s="7"/>
      <c r="AA49" s="58">
        <f>(((Table5[[#This Row],[Watts Active]]*Power_On_Hours_Year/1000)*Active_Duty_Cycle)+((Table5[[#This Row],[Watts Idle]]*Power_On_Hours_Year/1000)*(100%-Active_Duty_Cycle)))*CostPerKWH</f>
        <v>9.2917056000000002</v>
      </c>
      <c r="AB49" s="59">
        <f>Table5[[#This Row],[Energy$year]]/Table5[[#This Row],[SizTB]]</f>
        <v>1.5486176</v>
      </c>
      <c r="AC49" s="51"/>
    </row>
    <row r="50" spans="1:29" x14ac:dyDescent="0.25">
      <c r="A50" s="1">
        <v>42970</v>
      </c>
      <c r="B50" t="s">
        <v>10</v>
      </c>
      <c r="C50" s="122" t="s">
        <v>74</v>
      </c>
      <c r="D50" s="37" t="s">
        <v>57</v>
      </c>
      <c r="E50" s="134">
        <v>3.5</v>
      </c>
      <c r="F50" s="119">
        <v>8</v>
      </c>
      <c r="G50" s="53">
        <v>7200</v>
      </c>
      <c r="H50" s="5">
        <v>4.16</v>
      </c>
      <c r="I50" s="5"/>
      <c r="J50" s="86">
        <f>(Table5[[#This Row],[RPM]]/5400-1)</f>
        <v>0.33333333333333326</v>
      </c>
      <c r="K50" s="56">
        <v>249</v>
      </c>
      <c r="L50">
        <v>5</v>
      </c>
      <c r="M50" s="47"/>
      <c r="N50">
        <v>550</v>
      </c>
      <c r="O50" s="47">
        <v>2000000</v>
      </c>
      <c r="P50" s="46">
        <v>1000000000000000</v>
      </c>
      <c r="Q50" s="74"/>
      <c r="R50" s="5">
        <v>11</v>
      </c>
      <c r="S50" s="5">
        <v>7.6</v>
      </c>
      <c r="T50" s="75">
        <v>0.6</v>
      </c>
      <c r="U50" s="70">
        <v>289.99</v>
      </c>
      <c r="V50" s="10">
        <f>Table5[[#This Row],[Cost]]/Table5[[#This Row],[SizTB]]</f>
        <v>36.248750000000001</v>
      </c>
      <c r="W50" s="11">
        <f>Table5[[#This Row],[Cost]]+((CompareWarrYrs-Table5[[#This Row],[Warnty]])*(Incremental_Warr_Yr*Table5[[#This Row],[Cost]]))</f>
        <v>289.99</v>
      </c>
      <c r="X50" s="6">
        <f>Table5[[#This Row],[$+Warr]]/Table5[[#This Row],[SizTB]]</f>
        <v>36.248750000000001</v>
      </c>
      <c r="Y50" s="10">
        <f>Table5[[#This Row],[$PerTB]]/CompareWarrYrs</f>
        <v>7.2497500000000006</v>
      </c>
      <c r="Z50" s="7"/>
      <c r="AA50" s="58">
        <f>(((Table5[[#This Row],[Watts Active]]*Power_On_Hours_Year/1000)*Active_Duty_Cycle)+((Table5[[#This Row],[Watts Idle]]*Power_On_Hours_Year/1000)*(100%-Active_Duty_Cycle)))*CostPerKWH</f>
        <v>9.0725616000000002</v>
      </c>
      <c r="AB50" s="59">
        <f>Table5[[#This Row],[Energy$year]]/Table5[[#This Row],[SizTB]]</f>
        <v>1.1340702</v>
      </c>
      <c r="AC50" s="51"/>
    </row>
    <row r="51" spans="1:29" x14ac:dyDescent="0.25">
      <c r="A51" s="1">
        <v>43019</v>
      </c>
      <c r="B51" t="s">
        <v>10</v>
      </c>
      <c r="C51" s="122" t="s">
        <v>97</v>
      </c>
      <c r="D51" s="37" t="s">
        <v>57</v>
      </c>
      <c r="E51" s="134">
        <v>3.5</v>
      </c>
      <c r="F51" s="119">
        <v>8</v>
      </c>
      <c r="G51" s="53">
        <v>7200</v>
      </c>
      <c r="H51" s="5">
        <v>4.16</v>
      </c>
      <c r="I51" s="5"/>
      <c r="J51" s="86">
        <f>(Table5[[#This Row],[RPM]]/5400-1)</f>
        <v>0.33333333333333326</v>
      </c>
      <c r="K51" s="56">
        <v>237</v>
      </c>
      <c r="L51">
        <v>5</v>
      </c>
      <c r="M51" s="47">
        <v>600000</v>
      </c>
      <c r="N51">
        <v>550</v>
      </c>
      <c r="O51" s="47">
        <v>2500000</v>
      </c>
      <c r="P51" s="46">
        <v>1000000000000000</v>
      </c>
      <c r="Q51" s="74">
        <v>26.21</v>
      </c>
      <c r="R51" s="5">
        <v>7.8</v>
      </c>
      <c r="S51" s="50">
        <v>5</v>
      </c>
      <c r="T51" s="75">
        <v>0.8</v>
      </c>
      <c r="U51" s="70">
        <v>259.99</v>
      </c>
      <c r="V51" s="10">
        <f>Table5[[#This Row],[Cost]]/Table5[[#This Row],[SizTB]]</f>
        <v>32.498750000000001</v>
      </c>
      <c r="W51" s="11">
        <f>Table5[[#This Row],[Cost]]+((CompareWarrYrs-Table5[[#This Row],[Warnty]])*(Incremental_Warr_Yr*Table5[[#This Row],[Cost]]))</f>
        <v>259.99</v>
      </c>
      <c r="X51" s="6">
        <f>Table5[[#This Row],[$+Warr]]/Table5[[#This Row],[SizTB]]</f>
        <v>32.498750000000001</v>
      </c>
      <c r="Y51" s="10">
        <f>Table5[[#This Row],[$PerTB]]/CompareWarrYrs</f>
        <v>6.4997500000000006</v>
      </c>
      <c r="Z51" s="7"/>
      <c r="AA51" s="58">
        <f>(((Table5[[#This Row],[Watts Active]]*Power_On_Hours_Year/1000)*Active_Duty_Cycle)+((Table5[[#This Row],[Watts Idle]]*Power_On_Hours_Year/1000)*(100%-Active_Duty_Cycle)))*CostPerKWH</f>
        <v>6.0922032000000002</v>
      </c>
      <c r="AB51" s="59">
        <f>Table5[[#This Row],[Energy$year]]/Table5[[#This Row],[SizTB]]</f>
        <v>0.76152540000000002</v>
      </c>
      <c r="AC51" s="51" t="s">
        <v>43</v>
      </c>
    </row>
    <row r="52" spans="1:29" x14ac:dyDescent="0.25">
      <c r="A52" s="1">
        <v>43019</v>
      </c>
      <c r="B52" t="s">
        <v>10</v>
      </c>
      <c r="C52" s="122" t="s">
        <v>97</v>
      </c>
      <c r="D52" s="37" t="s">
        <v>57</v>
      </c>
      <c r="E52" s="134">
        <v>3.5</v>
      </c>
      <c r="F52" s="119">
        <v>10</v>
      </c>
      <c r="G52" s="53">
        <v>7200</v>
      </c>
      <c r="H52" s="5">
        <v>4.16</v>
      </c>
      <c r="I52" s="5"/>
      <c r="J52" s="86">
        <f>(Table5[[#This Row],[RPM]]/5400-1)</f>
        <v>0.33333333333333326</v>
      </c>
      <c r="K52" s="56">
        <v>237</v>
      </c>
      <c r="L52">
        <v>5</v>
      </c>
      <c r="M52" s="47">
        <v>600000</v>
      </c>
      <c r="N52">
        <v>550</v>
      </c>
      <c r="O52" s="47">
        <v>2500000</v>
      </c>
      <c r="P52" s="46">
        <v>1000000000000000</v>
      </c>
      <c r="Q52" s="74">
        <f>0.58*5+1.94*12</f>
        <v>26.18</v>
      </c>
      <c r="R52" s="5">
        <v>7.8</v>
      </c>
      <c r="S52" s="50">
        <v>5</v>
      </c>
      <c r="T52" s="75">
        <v>0.8</v>
      </c>
      <c r="U52" s="70">
        <v>364.99</v>
      </c>
      <c r="V52" s="10">
        <f>Table5[[#This Row],[Cost]]/Table5[[#This Row],[SizTB]]</f>
        <v>36.499000000000002</v>
      </c>
      <c r="W52" s="11">
        <f>Table5[[#This Row],[Cost]]+((CompareWarrYrs-Table5[[#This Row],[Warnty]])*(Incremental_Warr_Yr*Table5[[#This Row],[Cost]]))</f>
        <v>364.99</v>
      </c>
      <c r="X52" s="6">
        <f>Table5[[#This Row],[$+Warr]]/Table5[[#This Row],[SizTB]]</f>
        <v>36.499000000000002</v>
      </c>
      <c r="Y52" s="10">
        <f>Table5[[#This Row],[$PerTB]]/CompareWarrYrs</f>
        <v>7.2998000000000003</v>
      </c>
      <c r="Z52" s="7"/>
      <c r="AA52" s="58">
        <f>(((Table5[[#This Row],[Watts Active]]*Power_On_Hours_Year/1000)*Active_Duty_Cycle)+((Table5[[#This Row],[Watts Idle]]*Power_On_Hours_Year/1000)*(100%-Active_Duty_Cycle)))*CostPerKWH</f>
        <v>6.0922032000000002</v>
      </c>
      <c r="AB52" s="59">
        <f>Table5[[#This Row],[Energy$year]]/Table5[[#This Row],[SizTB]]</f>
        <v>0.60922032000000004</v>
      </c>
      <c r="AC52" s="51" t="s">
        <v>43</v>
      </c>
    </row>
    <row r="53" spans="1:29" x14ac:dyDescent="0.25">
      <c r="A53" s="1">
        <v>43019</v>
      </c>
      <c r="B53" t="s">
        <v>10</v>
      </c>
      <c r="C53" s="122" t="s">
        <v>73</v>
      </c>
      <c r="D53" s="37" t="s">
        <v>57</v>
      </c>
      <c r="E53" s="134">
        <v>3.5</v>
      </c>
      <c r="F53" s="119">
        <v>12</v>
      </c>
      <c r="G53" s="53">
        <v>7200</v>
      </c>
      <c r="H53" s="5">
        <v>4.16</v>
      </c>
      <c r="I53" s="5"/>
      <c r="J53" s="86">
        <f>(Table5[[#This Row],[RPM]]/5400-1)</f>
        <v>0.33333333333333326</v>
      </c>
      <c r="K53" s="56">
        <v>261</v>
      </c>
      <c r="L53">
        <v>5</v>
      </c>
      <c r="M53" s="47">
        <v>600000</v>
      </c>
      <c r="N53">
        <v>550</v>
      </c>
      <c r="O53" s="47">
        <v>2500000</v>
      </c>
      <c r="P53" s="46">
        <v>1000000000000000</v>
      </c>
      <c r="Q53" s="74">
        <f>0.914*5+1.729*12</f>
        <v>25.318000000000001</v>
      </c>
      <c r="R53" s="5">
        <v>7.8</v>
      </c>
      <c r="S53" s="50">
        <v>5</v>
      </c>
      <c r="T53" s="75">
        <v>1.1499999999999999</v>
      </c>
      <c r="U53" s="70">
        <v>489.22</v>
      </c>
      <c r="V53" s="10">
        <f>Table5[[#This Row],[Cost]]/Table5[[#This Row],[SizTB]]</f>
        <v>40.768333333333338</v>
      </c>
      <c r="W53" s="11">
        <f>Table5[[#This Row],[Cost]]+((CompareWarrYrs-Table5[[#This Row],[Warnty]])*(Incremental_Warr_Yr*Table5[[#This Row],[Cost]]))</f>
        <v>489.22</v>
      </c>
      <c r="X53" s="6">
        <f>Table5[[#This Row],[$+Warr]]/Table5[[#This Row],[SizTB]]</f>
        <v>40.768333333333338</v>
      </c>
      <c r="Y53" s="10">
        <f>Table5[[#This Row],[$PerTB]]/CompareWarrYrs</f>
        <v>8.153666666666668</v>
      </c>
      <c r="Z53" s="7"/>
      <c r="AA53" s="58">
        <f>(((Table5[[#This Row],[Watts Active]]*Power_On_Hours_Year/1000)*Active_Duty_Cycle)+((Table5[[#This Row],[Watts Idle]]*Power_On_Hours_Year/1000)*(100%-Active_Duty_Cycle)))*CostPerKWH</f>
        <v>6.0922032000000002</v>
      </c>
      <c r="AB53" s="59">
        <f>Table5[[#This Row],[Energy$year]]/Table5[[#This Row],[SizTB]]</f>
        <v>0.50768360000000001</v>
      </c>
      <c r="AC53" s="51" t="s">
        <v>43</v>
      </c>
    </row>
    <row r="54" spans="1:29" x14ac:dyDescent="0.25">
      <c r="A54" s="1">
        <v>43005</v>
      </c>
      <c r="B54" t="s">
        <v>10</v>
      </c>
      <c r="C54" s="122" t="s">
        <v>106</v>
      </c>
      <c r="D54" s="37" t="s">
        <v>57</v>
      </c>
      <c r="E54" s="134">
        <v>2.5</v>
      </c>
      <c r="F54" s="119">
        <v>1</v>
      </c>
      <c r="G54" s="53">
        <v>7200</v>
      </c>
      <c r="H54" s="5">
        <v>4.16</v>
      </c>
      <c r="I54" s="5"/>
      <c r="J54" s="86">
        <f>(Table5[[#This Row],[RPM]]/5400-1)</f>
        <v>0.33333333333333326</v>
      </c>
      <c r="K54" s="56">
        <v>130</v>
      </c>
      <c r="L54">
        <v>5</v>
      </c>
      <c r="M54" s="47">
        <v>300000</v>
      </c>
      <c r="N54">
        <v>550</v>
      </c>
      <c r="O54" s="47">
        <v>2000000</v>
      </c>
      <c r="P54" s="46">
        <v>1000000000000000</v>
      </c>
      <c r="Q54" s="74">
        <f>0.5*5+0.7*12</f>
        <v>10.899999999999999</v>
      </c>
      <c r="R54" s="5">
        <v>4.74</v>
      </c>
      <c r="S54" s="12">
        <v>3.51</v>
      </c>
      <c r="T54" s="75">
        <v>1.1399999999999999</v>
      </c>
      <c r="U54" s="70">
        <v>182.13</v>
      </c>
      <c r="V54" s="10">
        <f>Table5[[#This Row],[Cost]]/Table5[[#This Row],[SizTB]]</f>
        <v>182.13</v>
      </c>
      <c r="W54" s="11">
        <f>Table5[[#This Row],[Cost]]+((CompareWarrYrs-Table5[[#This Row],[Warnty]])*(Incremental_Warr_Yr*Table5[[#This Row],[Cost]]))</f>
        <v>182.13</v>
      </c>
      <c r="X54" s="6">
        <f>Table5[[#This Row],[$+Warr]]/Table5[[#This Row],[SizTB]]</f>
        <v>182.13</v>
      </c>
      <c r="Y54" s="10">
        <f>Table5[[#This Row],[$PerTB]]/CompareWarrYrs</f>
        <v>36.426000000000002</v>
      </c>
      <c r="Z54" s="7"/>
      <c r="AA54" s="58">
        <f>(((Table5[[#This Row],[Watts Active]]*Power_On_Hours_Year/1000)*Active_Duty_Cycle)+((Table5[[#This Row],[Watts Idle]]*Power_On_Hours_Year/1000)*(100%-Active_Duty_Cycle)))*CostPerKWH</f>
        <v>4.1155243199999996</v>
      </c>
      <c r="AB54" s="59">
        <f>Table5[[#This Row],[Energy$year]]/Table5[[#This Row],[SizTB]]</f>
        <v>4.1155243199999996</v>
      </c>
      <c r="AC54" s="51"/>
    </row>
    <row r="55" spans="1:29" x14ac:dyDescent="0.25">
      <c r="A55" s="1">
        <v>43005</v>
      </c>
      <c r="B55" t="s">
        <v>10</v>
      </c>
      <c r="C55" s="122" t="s">
        <v>106</v>
      </c>
      <c r="D55" s="37" t="s">
        <v>57</v>
      </c>
      <c r="E55" s="134">
        <v>2.5</v>
      </c>
      <c r="F55" s="119">
        <v>2</v>
      </c>
      <c r="G55" s="53">
        <v>7200</v>
      </c>
      <c r="H55" s="5">
        <v>4.16</v>
      </c>
      <c r="I55" s="5"/>
      <c r="J55" s="86">
        <f>(Table5[[#This Row],[RPM]]/5400-1)</f>
        <v>0.33333333333333326</v>
      </c>
      <c r="K55" s="56">
        <v>130</v>
      </c>
      <c r="L55">
        <v>5</v>
      </c>
      <c r="M55" s="47">
        <v>300000</v>
      </c>
      <c r="N55">
        <v>550</v>
      </c>
      <c r="O55" s="47">
        <v>2000000</v>
      </c>
      <c r="P55" s="46">
        <v>1000000000000000</v>
      </c>
      <c r="Q55" s="74">
        <f>0.5*5+0.7*12</f>
        <v>10.899999999999999</v>
      </c>
      <c r="R55" s="5">
        <v>5.98</v>
      </c>
      <c r="S55" s="12">
        <v>3.87</v>
      </c>
      <c r="T55" s="75">
        <v>1.1399999999999999</v>
      </c>
      <c r="U55" s="70">
        <v>329.99</v>
      </c>
      <c r="V55" s="10">
        <f>Table5[[#This Row],[Cost]]/Table5[[#This Row],[SizTB]]</f>
        <v>164.995</v>
      </c>
      <c r="W55" s="11">
        <f>Table5[[#This Row],[Cost]]+((CompareWarrYrs-Table5[[#This Row],[Warnty]])*(Incremental_Warr_Yr*Table5[[#This Row],[Cost]]))</f>
        <v>329.99</v>
      </c>
      <c r="X55" s="6">
        <f>Table5[[#This Row],[$+Warr]]/Table5[[#This Row],[SizTB]]</f>
        <v>164.995</v>
      </c>
      <c r="Y55" s="10">
        <f>Table5[[#This Row],[$PerTB]]/CompareWarrYrs</f>
        <v>32.999000000000002</v>
      </c>
      <c r="Z55" s="7"/>
      <c r="AA55" s="58">
        <f>(((Table5[[#This Row],[Watts Active]]*Power_On_Hours_Year/1000)*Active_Duty_Cycle)+((Table5[[#This Row],[Watts Idle]]*Power_On_Hours_Year/1000)*(100%-Active_Duty_Cycle)))*CostPerKWH</f>
        <v>4.7028302400000008</v>
      </c>
      <c r="AB55" s="59">
        <f>Table5[[#This Row],[Energy$year]]/Table5[[#This Row],[SizTB]]</f>
        <v>2.3514151200000004</v>
      </c>
      <c r="AC55" s="51"/>
    </row>
    <row r="56" spans="1:29" x14ac:dyDescent="0.25">
      <c r="A56" s="1">
        <v>43019</v>
      </c>
      <c r="B56" t="s">
        <v>10</v>
      </c>
      <c r="C56" s="122" t="s">
        <v>119</v>
      </c>
      <c r="D56" s="143" t="s">
        <v>57</v>
      </c>
      <c r="E56" s="134">
        <v>2.5</v>
      </c>
      <c r="F56" s="119">
        <v>1.8</v>
      </c>
      <c r="G56" s="53">
        <v>10500</v>
      </c>
      <c r="H56" s="5">
        <v>2.9</v>
      </c>
      <c r="I56" s="5"/>
      <c r="J56" s="86">
        <f>(Table5[[#This Row],[RPM]]/5400-1)</f>
        <v>0.94444444444444442</v>
      </c>
      <c r="K56" s="56">
        <v>270</v>
      </c>
      <c r="L56">
        <v>5</v>
      </c>
      <c r="M56" s="47"/>
      <c r="N56">
        <v>550</v>
      </c>
      <c r="O56" s="47">
        <v>2000000</v>
      </c>
      <c r="P56" s="46">
        <v>1E+16</v>
      </c>
      <c r="Q56" s="74"/>
      <c r="R56" s="5">
        <v>6.95</v>
      </c>
      <c r="S56" s="5">
        <v>4.26</v>
      </c>
      <c r="T56" s="75"/>
      <c r="U56" s="70"/>
      <c r="V56" s="10">
        <f>Table5[[#This Row],[Cost]]/Table5[[#This Row],[SizTB]]</f>
        <v>0</v>
      </c>
      <c r="W56" s="11">
        <f>Table5[[#This Row],[Cost]]+((CompareWarrYrs-Table5[[#This Row],[Warnty]])*(Incremental_Warr_Yr*Table5[[#This Row],[Cost]]))</f>
        <v>0</v>
      </c>
      <c r="X56" s="6">
        <f>Table5[[#This Row],[$+Warr]]/Table5[[#This Row],[SizTB]]</f>
        <v>0</v>
      </c>
      <c r="Y56" s="10">
        <f>Table5[[#This Row],[$PerTB]]/CompareWarrYrs</f>
        <v>0</v>
      </c>
      <c r="Z56" s="13"/>
      <c r="AA56" s="58">
        <f>(((Table5[[#This Row],[Watts Active]]*Power_On_Hours_Year/1000)*Active_Duty_Cycle)+((Table5[[#This Row],[Watts Idle]]*Power_On_Hours_Year/1000)*(100%-Active_Duty_Cycle)))*CostPerKWH</f>
        <v>5.2572645600000003</v>
      </c>
      <c r="AB56" s="59">
        <f>Table5[[#This Row],[Energy$year]]/Table5[[#This Row],[SizTB]]</f>
        <v>2.9207025333333334</v>
      </c>
      <c r="AC56" s="51" t="s">
        <v>120</v>
      </c>
    </row>
    <row r="57" spans="1:29" x14ac:dyDescent="0.25">
      <c r="A57" s="1">
        <v>43019</v>
      </c>
      <c r="B57" t="s">
        <v>10</v>
      </c>
      <c r="C57" s="122" t="s">
        <v>119</v>
      </c>
      <c r="D57" s="143" t="s">
        <v>57</v>
      </c>
      <c r="E57" s="134">
        <v>2.5</v>
      </c>
      <c r="F57" s="119">
        <v>2.4</v>
      </c>
      <c r="G57" s="53">
        <v>10500</v>
      </c>
      <c r="H57" s="5">
        <v>2.9</v>
      </c>
      <c r="I57" s="5"/>
      <c r="J57" s="86">
        <f>(Table5[[#This Row],[RPM]]/5400-1)</f>
        <v>0.94444444444444442</v>
      </c>
      <c r="K57" s="56">
        <v>270</v>
      </c>
      <c r="L57">
        <v>5</v>
      </c>
      <c r="M57" s="47"/>
      <c r="N57">
        <v>550</v>
      </c>
      <c r="O57" s="47">
        <v>2000000</v>
      </c>
      <c r="P57" s="46">
        <v>1E+16</v>
      </c>
      <c r="Q57" s="74"/>
      <c r="R57" s="5">
        <v>8.57</v>
      </c>
      <c r="S57" s="5">
        <v>4.9000000000000004</v>
      </c>
      <c r="T57" s="75"/>
      <c r="U57" s="70"/>
      <c r="V57" s="10">
        <f>Table5[[#This Row],[Cost]]/Table5[[#This Row],[SizTB]]</f>
        <v>0</v>
      </c>
      <c r="W57" s="11">
        <f>Table5[[#This Row],[Cost]]+((CompareWarrYrs-Table5[[#This Row],[Warnty]])*(Incremental_Warr_Yr*Table5[[#This Row],[Cost]]))</f>
        <v>0</v>
      </c>
      <c r="X57" s="6">
        <f>Table5[[#This Row],[$+Warr]]/Table5[[#This Row],[SizTB]]</f>
        <v>0</v>
      </c>
      <c r="Y57" s="10">
        <f>Table5[[#This Row],[$PerTB]]/CompareWarrYrs</f>
        <v>0</v>
      </c>
      <c r="Z57" s="13"/>
      <c r="AA57" s="58">
        <f>(((Table5[[#This Row],[Watts Active]]*Power_On_Hours_Year/1000)*Active_Duty_Cycle)+((Table5[[#This Row],[Watts Idle]]*Power_On_Hours_Year/1000)*(100%-Active_Duty_Cycle)))*CostPerKWH</f>
        <v>6.1732864799999998</v>
      </c>
      <c r="AB57" s="59">
        <f>Table5[[#This Row],[Energy$year]]/Table5[[#This Row],[SizTB]]</f>
        <v>2.5722027000000001</v>
      </c>
      <c r="AC57" s="51" t="s">
        <v>120</v>
      </c>
    </row>
    <row r="58" spans="1:29" x14ac:dyDescent="0.25">
      <c r="A58" s="1">
        <v>43019</v>
      </c>
      <c r="B58" t="s">
        <v>10</v>
      </c>
      <c r="C58" s="122" t="s">
        <v>118</v>
      </c>
      <c r="D58" s="143" t="s">
        <v>57</v>
      </c>
      <c r="E58" s="134">
        <v>3.5</v>
      </c>
      <c r="F58" s="119">
        <v>0.9</v>
      </c>
      <c r="G58" s="53">
        <v>15000</v>
      </c>
      <c r="H58" s="5">
        <v>2</v>
      </c>
      <c r="I58" s="5"/>
      <c r="J58" s="86">
        <f>(Table5[[#This Row],[RPM]]/5400-1)</f>
        <v>1.7777777777777777</v>
      </c>
      <c r="K58" s="56">
        <v>215</v>
      </c>
      <c r="L58">
        <v>5</v>
      </c>
      <c r="M58" s="47"/>
      <c r="N58">
        <v>550</v>
      </c>
      <c r="O58" s="47">
        <v>2000000</v>
      </c>
      <c r="P58" s="46">
        <v>1E+16</v>
      </c>
      <c r="Q58" s="74"/>
      <c r="R58" s="5">
        <v>7.6</v>
      </c>
      <c r="S58" s="5">
        <v>5.7</v>
      </c>
      <c r="T58" s="75"/>
      <c r="U58" s="70"/>
      <c r="V58" s="10">
        <f>Table5[[#This Row],[Cost]]/Table5[[#This Row],[SizTB]]</f>
        <v>0</v>
      </c>
      <c r="W58" s="11">
        <f>Table5[[#This Row],[Cost]]+((CompareWarrYrs-Table5[[#This Row],[Warnty]])*(Incremental_Warr_Yr*Table5[[#This Row],[Cost]]))</f>
        <v>0</v>
      </c>
      <c r="X58" s="6">
        <f>Table5[[#This Row],[$+Warr]]/Table5[[#This Row],[SizTB]]</f>
        <v>0</v>
      </c>
      <c r="Y58" s="10">
        <f>Table5[[#This Row],[$PerTB]]/CompareWarrYrs</f>
        <v>0</v>
      </c>
      <c r="Z58" s="13"/>
      <c r="AA58" s="58">
        <f>(((Table5[[#This Row],[Watts Active]]*Power_On_Hours_Year/1000)*Active_Duty_Cycle)+((Table5[[#This Row],[Watts Idle]]*Power_On_Hours_Year/1000)*(100%-Active_Duty_Cycle)))*CostPerKWH</f>
        <v>6.6619776000000002</v>
      </c>
      <c r="AB58" s="59">
        <f>Table5[[#This Row],[Energy$year]]/Table5[[#This Row],[SizTB]]</f>
        <v>7.4021973333333335</v>
      </c>
      <c r="AC58" s="51" t="s">
        <v>50</v>
      </c>
    </row>
    <row r="59" spans="1:29" x14ac:dyDescent="0.25">
      <c r="A59" s="1">
        <v>43019</v>
      </c>
      <c r="B59" t="s">
        <v>10</v>
      </c>
      <c r="C59" s="122" t="s">
        <v>49</v>
      </c>
      <c r="D59" s="37"/>
      <c r="E59" s="134">
        <v>3.5</v>
      </c>
      <c r="F59" s="119">
        <v>1</v>
      </c>
      <c r="G59" s="53">
        <v>7200</v>
      </c>
      <c r="H59" s="5"/>
      <c r="I59" s="5"/>
      <c r="J59" s="86">
        <f>(Table5[[#This Row],[RPM]]/5400-1)</f>
        <v>0.33333333333333326</v>
      </c>
      <c r="K59" s="56"/>
      <c r="L59">
        <v>5</v>
      </c>
      <c r="M59" s="47"/>
      <c r="O59" s="47"/>
      <c r="P59" s="46"/>
      <c r="Q59" s="74">
        <v>24</v>
      </c>
      <c r="R59" s="5">
        <v>5.9</v>
      </c>
      <c r="S59" s="5">
        <v>4.5</v>
      </c>
      <c r="T59" s="75">
        <v>0.63</v>
      </c>
      <c r="U59" s="70">
        <v>75.989999999999995</v>
      </c>
      <c r="V59" s="10">
        <f>Table5[[#This Row],[Cost]]/Table5[[#This Row],[SizTB]]</f>
        <v>75.989999999999995</v>
      </c>
      <c r="W59" s="11">
        <f>Table5[[#This Row],[Cost]]+((CompareWarrYrs-Table5[[#This Row],[Warnty]])*(Incremental_Warr_Yr*Table5[[#This Row],[Cost]]))</f>
        <v>75.989999999999995</v>
      </c>
      <c r="X59" s="6">
        <f>Table5[[#This Row],[$+Warr]]/Table5[[#This Row],[SizTB]]</f>
        <v>75.989999999999995</v>
      </c>
      <c r="Y59" s="10">
        <f>Table5[[#This Row],[$PerTB]]/CompareWarrYrs</f>
        <v>15.197999999999999</v>
      </c>
      <c r="Z59" s="7"/>
      <c r="AA59" s="58">
        <f>(((Table5[[#This Row],[Watts Active]]*Power_On_Hours_Year/1000)*Active_Duty_Cycle)+((Table5[[#This Row],[Watts Idle]]*Power_On_Hours_Year/1000)*(100%-Active_Duty_Cycle)))*CostPerKWH</f>
        <v>5.2375416000000001</v>
      </c>
      <c r="AB59" s="59">
        <f>Table5[[#This Row],[Energy$year]]/Table5[[#This Row],[SizTB]]</f>
        <v>5.2375416000000001</v>
      </c>
      <c r="AC59" s="51" t="s">
        <v>50</v>
      </c>
    </row>
    <row r="60" spans="1:29" x14ac:dyDescent="0.25">
      <c r="A60" s="1">
        <v>43019</v>
      </c>
      <c r="B60" t="s">
        <v>10</v>
      </c>
      <c r="C60" s="122" t="s">
        <v>49</v>
      </c>
      <c r="D60" s="37"/>
      <c r="E60" s="134">
        <v>3.5</v>
      </c>
      <c r="F60" s="119">
        <v>2</v>
      </c>
      <c r="G60" s="53">
        <v>7200</v>
      </c>
      <c r="H60" s="5"/>
      <c r="I60" s="5"/>
      <c r="J60" s="86">
        <f>(Table5[[#This Row],[RPM]]/5400-1)</f>
        <v>0.33333333333333326</v>
      </c>
      <c r="K60" s="56"/>
      <c r="L60">
        <v>5</v>
      </c>
      <c r="M60" s="47"/>
      <c r="O60" s="47"/>
      <c r="P60" s="46"/>
      <c r="Q60" s="74">
        <v>24</v>
      </c>
      <c r="R60" s="5">
        <v>6.7</v>
      </c>
      <c r="S60" s="5">
        <v>3.36</v>
      </c>
      <c r="T60" s="75">
        <v>0.75</v>
      </c>
      <c r="U60" s="70">
        <v>99.99</v>
      </c>
      <c r="V60" s="10">
        <f>Table5[[#This Row],[Cost]]/Table5[[#This Row],[SizTB]]</f>
        <v>49.994999999999997</v>
      </c>
      <c r="W60" s="11">
        <f>Table5[[#This Row],[Cost]]+((CompareWarrYrs-Table5[[#This Row],[Warnty]])*(Incremental_Warr_Yr*Table5[[#This Row],[Cost]]))</f>
        <v>99.99</v>
      </c>
      <c r="X60" s="6">
        <f>Table5[[#This Row],[$+Warr]]/Table5[[#This Row],[SizTB]]</f>
        <v>49.994999999999997</v>
      </c>
      <c r="Y60" s="10">
        <f>Table5[[#This Row],[$PerTB]]/CompareWarrYrs</f>
        <v>9.9989999999999988</v>
      </c>
      <c r="Z60" s="7"/>
      <c r="AA60" s="58">
        <f>(((Table5[[#This Row],[Watts Active]]*Power_On_Hours_Year/1000)*Active_Duty_Cycle)+((Table5[[#This Row],[Watts Idle]]*Power_On_Hours_Year/1000)*(100%-Active_Duty_Cycle)))*CostPerKWH</f>
        <v>4.4135601600000003</v>
      </c>
      <c r="AB60" s="59">
        <f>Table5[[#This Row],[Energy$year]]/Table5[[#This Row],[SizTB]]</f>
        <v>2.2067800800000001</v>
      </c>
      <c r="AC60" s="51" t="s">
        <v>50</v>
      </c>
    </row>
    <row r="61" spans="1:29" x14ac:dyDescent="0.25">
      <c r="A61" s="1">
        <v>43005</v>
      </c>
      <c r="B61" t="s">
        <v>10</v>
      </c>
      <c r="C61" s="122" t="s">
        <v>49</v>
      </c>
      <c r="D61" s="37"/>
      <c r="E61" s="134">
        <v>2.5</v>
      </c>
      <c r="F61" s="119">
        <v>1</v>
      </c>
      <c r="G61" s="53">
        <v>5400</v>
      </c>
      <c r="H61" s="5"/>
      <c r="I61" s="5"/>
      <c r="J61" s="86">
        <f>(Table5[[#This Row],[RPM]]/5400-1)</f>
        <v>0</v>
      </c>
      <c r="K61" s="56"/>
      <c r="L61">
        <v>5</v>
      </c>
      <c r="M61" s="47"/>
      <c r="O61" s="47"/>
      <c r="P61" s="46"/>
      <c r="Q61" s="74">
        <v>5</v>
      </c>
      <c r="R61" s="5">
        <v>1.7</v>
      </c>
      <c r="S61" s="5">
        <v>1.45</v>
      </c>
      <c r="T61" s="75"/>
      <c r="U61" s="70">
        <v>62.99</v>
      </c>
      <c r="V61" s="10">
        <f>Table5[[#This Row],[Cost]]/Table5[[#This Row],[SizTB]]</f>
        <v>62.99</v>
      </c>
      <c r="W61" s="11">
        <f>Table5[[#This Row],[Cost]]+((CompareWarrYrs-Table5[[#This Row],[Warnty]])*(Incremental_Warr_Yr*Table5[[#This Row],[Cost]]))</f>
        <v>62.99</v>
      </c>
      <c r="X61" s="6">
        <f>Table5[[#This Row],[$+Warr]]/Table5[[#This Row],[SizTB]]</f>
        <v>62.99</v>
      </c>
      <c r="Y61" s="10">
        <f>Table5[[#This Row],[$PerTB]]/CompareWarrYrs</f>
        <v>12.598000000000001</v>
      </c>
      <c r="Z61" s="7"/>
      <c r="AA61" s="58">
        <f>(((Table5[[#This Row],[Watts Active]]*Power_On_Hours_Year/1000)*Active_Duty_Cycle)+((Table5[[#This Row],[Watts Idle]]*Power_On_Hours_Year/1000)*(100%-Active_Duty_Cycle)))*CostPerKWH</f>
        <v>1.64358</v>
      </c>
      <c r="AB61" s="59">
        <f>Table5[[#This Row],[Energy$year]]/Table5[[#This Row],[SizTB]]</f>
        <v>1.64358</v>
      </c>
      <c r="AC61" s="51" t="s">
        <v>50</v>
      </c>
    </row>
    <row r="62" spans="1:29" x14ac:dyDescent="0.25">
      <c r="A62" s="1">
        <v>43005</v>
      </c>
      <c r="B62" t="s">
        <v>10</v>
      </c>
      <c r="C62" s="122" t="s">
        <v>49</v>
      </c>
      <c r="D62" s="37"/>
      <c r="E62" s="134">
        <v>2.5</v>
      </c>
      <c r="F62" s="119">
        <v>2</v>
      </c>
      <c r="G62" s="53">
        <v>5400</v>
      </c>
      <c r="H62" s="5"/>
      <c r="I62" s="5"/>
      <c r="J62" s="86">
        <f>(Table5[[#This Row],[RPM]]/5400-1)</f>
        <v>0</v>
      </c>
      <c r="K62" s="56"/>
      <c r="L62">
        <v>5</v>
      </c>
      <c r="M62" s="47"/>
      <c r="O62" s="47"/>
      <c r="P62" s="46"/>
      <c r="Q62" s="74">
        <v>5</v>
      </c>
      <c r="R62" s="5">
        <v>1.8</v>
      </c>
      <c r="S62" s="5">
        <v>1.5</v>
      </c>
      <c r="T62" s="75"/>
      <c r="U62" s="70">
        <v>89.99</v>
      </c>
      <c r="V62" s="10">
        <f>Table5[[#This Row],[Cost]]/Table5[[#This Row],[SizTB]]</f>
        <v>44.994999999999997</v>
      </c>
      <c r="W62" s="11">
        <f>Table5[[#This Row],[Cost]]+((CompareWarrYrs-Table5[[#This Row],[Warnty]])*(Incremental_Warr_Yr*Table5[[#This Row],[Cost]]))</f>
        <v>89.99</v>
      </c>
      <c r="X62" s="6">
        <f>Table5[[#This Row],[$+Warr]]/Table5[[#This Row],[SizTB]]</f>
        <v>44.994999999999997</v>
      </c>
      <c r="Y62" s="10">
        <f>Table5[[#This Row],[$PerTB]]/CompareWarrYrs</f>
        <v>8.9989999999999988</v>
      </c>
      <c r="Z62" s="7"/>
      <c r="AA62" s="58">
        <f>(((Table5[[#This Row],[Watts Active]]*Power_On_Hours_Year/1000)*Active_Duty_Cycle)+((Table5[[#This Row],[Watts Idle]]*Power_On_Hours_Year/1000)*(100%-Active_Duty_Cycle)))*CostPerKWH</f>
        <v>1.7093232</v>
      </c>
      <c r="AB62" s="59">
        <f>Table5[[#This Row],[Energy$year]]/Table5[[#This Row],[SizTB]]</f>
        <v>0.85466160000000002</v>
      </c>
      <c r="AC62" s="51" t="s">
        <v>50</v>
      </c>
    </row>
    <row r="63" spans="1:29" x14ac:dyDescent="0.25">
      <c r="A63" s="1">
        <v>43019</v>
      </c>
      <c r="B63" t="s">
        <v>10</v>
      </c>
      <c r="C63" s="122" t="s">
        <v>13</v>
      </c>
      <c r="D63" s="37" t="s">
        <v>57</v>
      </c>
      <c r="E63" s="134">
        <v>3.5</v>
      </c>
      <c r="F63" s="119">
        <v>1</v>
      </c>
      <c r="G63" s="53">
        <v>5900</v>
      </c>
      <c r="H63" s="5">
        <v>5.0999999999999996</v>
      </c>
      <c r="I63" s="5">
        <v>11.99</v>
      </c>
      <c r="J63" s="86">
        <f>(Table5[[#This Row],[RPM]]/5400-1)</f>
        <v>9.259259259259256E-2</v>
      </c>
      <c r="K63" s="56">
        <v>180</v>
      </c>
      <c r="L63">
        <v>3</v>
      </c>
      <c r="M63" s="47">
        <v>600000</v>
      </c>
      <c r="N63">
        <v>180</v>
      </c>
      <c r="O63" s="47">
        <v>1000000</v>
      </c>
      <c r="P63" s="46">
        <f t="shared" ref="P63:P66" si="5">10^14</f>
        <v>100000000000000</v>
      </c>
      <c r="Q63" s="74">
        <f>12*1.2</f>
        <v>14.399999999999999</v>
      </c>
      <c r="R63" s="5">
        <v>3.76</v>
      </c>
      <c r="S63" s="5">
        <v>2.5</v>
      </c>
      <c r="T63" s="75">
        <v>0.8</v>
      </c>
      <c r="U63" s="70">
        <v>64.98</v>
      </c>
      <c r="V63" s="10">
        <f>Table5[[#This Row],[Cost]]/Table5[[#This Row],[SizTB]]</f>
        <v>64.98</v>
      </c>
      <c r="W63" s="11">
        <f>Table5[[#This Row],[Cost]]+((CompareWarrYrs-Table5[[#This Row],[Warnty]])*(Incremental_Warr_Yr*Table5[[#This Row],[Cost]]))</f>
        <v>79.275599999999997</v>
      </c>
      <c r="X63" s="6">
        <f>Table5[[#This Row],[$+Warr]]/Table5[[#This Row],[SizTB]]</f>
        <v>79.275599999999997</v>
      </c>
      <c r="Y63" s="10">
        <f>Table5[[#This Row],[$PerTB]]/CompareWarrYrs</f>
        <v>15.855119999999999</v>
      </c>
      <c r="Z63" s="7"/>
      <c r="AA63" s="58">
        <f>(((Table5[[#This Row],[Watts Active]]*Power_On_Hours_Year/1000)*Active_Duty_Cycle)+((Table5[[#This Row],[Watts Idle]]*Power_On_Hours_Year/1000)*(100%-Active_Duty_Cycle)))*CostPerKWH</f>
        <v>3.0154214399999999</v>
      </c>
      <c r="AB63" s="59">
        <f>Table5[[#This Row],[Energy$year]]/Table5[[#This Row],[SizTB]]</f>
        <v>3.0154214399999999</v>
      </c>
      <c r="AC63" s="51" t="s">
        <v>50</v>
      </c>
    </row>
    <row r="64" spans="1:29" x14ac:dyDescent="0.25">
      <c r="A64" s="1">
        <v>43019</v>
      </c>
      <c r="B64" t="s">
        <v>10</v>
      </c>
      <c r="C64" s="122" t="s">
        <v>13</v>
      </c>
      <c r="D64" s="37" t="s">
        <v>57</v>
      </c>
      <c r="E64" s="134">
        <v>3.5</v>
      </c>
      <c r="F64" s="119">
        <v>2</v>
      </c>
      <c r="G64" s="53">
        <v>5900</v>
      </c>
      <c r="H64" s="5">
        <v>5.0999999999999996</v>
      </c>
      <c r="I64" s="5">
        <v>11.99</v>
      </c>
      <c r="J64" s="86">
        <f>(Table5[[#This Row],[RPM]]/5400-1)</f>
        <v>9.259259259259256E-2</v>
      </c>
      <c r="K64" s="56">
        <v>180</v>
      </c>
      <c r="L64">
        <v>3</v>
      </c>
      <c r="M64" s="47">
        <v>600000</v>
      </c>
      <c r="N64">
        <v>180</v>
      </c>
      <c r="O64" s="47">
        <v>1000000</v>
      </c>
      <c r="P64" s="46">
        <f t="shared" si="5"/>
        <v>100000000000000</v>
      </c>
      <c r="Q64" s="74">
        <f>12*2</f>
        <v>24</v>
      </c>
      <c r="R64" s="5">
        <v>4.3</v>
      </c>
      <c r="S64" s="5">
        <v>3.56</v>
      </c>
      <c r="T64" s="75">
        <v>0.8</v>
      </c>
      <c r="U64" s="70">
        <v>84.99</v>
      </c>
      <c r="V64" s="10">
        <f>Table5[[#This Row],[Cost]]/Table5[[#This Row],[SizTB]]</f>
        <v>42.494999999999997</v>
      </c>
      <c r="W64" s="11">
        <f>Table5[[#This Row],[Cost]]+((CompareWarrYrs-Table5[[#This Row],[Warnty]])*(Incremental_Warr_Yr*Table5[[#This Row],[Cost]]))</f>
        <v>103.6878</v>
      </c>
      <c r="X64" s="6">
        <f>Table5[[#This Row],[$+Warr]]/Table5[[#This Row],[SizTB]]</f>
        <v>51.843899999999998</v>
      </c>
      <c r="Y64" s="10">
        <f>Table5[[#This Row],[$PerTB]]/CompareWarrYrs</f>
        <v>10.368779999999999</v>
      </c>
      <c r="Z64" s="7"/>
      <c r="AA64" s="58">
        <f>(((Table5[[#This Row],[Watts Active]]*Power_On_Hours_Year/1000)*Active_Duty_Cycle)+((Table5[[#This Row],[Watts Idle]]*Power_On_Hours_Year/1000)*(100%-Active_Duty_Cycle)))*CostPerKWH</f>
        <v>4.0629297600000003</v>
      </c>
      <c r="AB64" s="59">
        <f>Table5[[#This Row],[Energy$year]]/Table5[[#This Row],[SizTB]]</f>
        <v>2.0314648800000001</v>
      </c>
      <c r="AC64" s="51"/>
    </row>
    <row r="65" spans="1:29" x14ac:dyDescent="0.25">
      <c r="A65" s="1">
        <v>43019</v>
      </c>
      <c r="B65" t="s">
        <v>10</v>
      </c>
      <c r="C65" s="122" t="s">
        <v>13</v>
      </c>
      <c r="D65" s="37" t="s">
        <v>57</v>
      </c>
      <c r="E65" s="134">
        <v>3.5</v>
      </c>
      <c r="F65" s="119">
        <v>3</v>
      </c>
      <c r="G65" s="53">
        <v>5900</v>
      </c>
      <c r="H65" s="5">
        <v>5.0999999999999996</v>
      </c>
      <c r="I65" s="5">
        <v>11.99</v>
      </c>
      <c r="J65" s="86">
        <f>(Table5[[#This Row],[RPM]]/5400-1)</f>
        <v>9.259259259259256E-2</v>
      </c>
      <c r="K65" s="56">
        <v>180</v>
      </c>
      <c r="L65">
        <v>3</v>
      </c>
      <c r="M65" s="47">
        <v>600000</v>
      </c>
      <c r="N65">
        <v>180</v>
      </c>
      <c r="O65" s="47">
        <v>1000000</v>
      </c>
      <c r="P65" s="46">
        <f t="shared" si="5"/>
        <v>100000000000000</v>
      </c>
      <c r="Q65" s="74">
        <f>12*2</f>
        <v>24</v>
      </c>
      <c r="R65" s="5">
        <v>4.8</v>
      </c>
      <c r="S65" s="5">
        <v>4.8</v>
      </c>
      <c r="T65" s="75">
        <v>0.6</v>
      </c>
      <c r="U65" s="70">
        <v>107.99</v>
      </c>
      <c r="V65" s="10">
        <f>Table5[[#This Row],[Cost]]/Table5[[#This Row],[SizTB]]</f>
        <v>35.996666666666663</v>
      </c>
      <c r="W65" s="11">
        <f>Table5[[#This Row],[Cost]]+((CompareWarrYrs-Table5[[#This Row],[Warnty]])*(Incremental_Warr_Yr*Table5[[#This Row],[Cost]]))</f>
        <v>131.74779999999998</v>
      </c>
      <c r="X65" s="6">
        <f>Table5[[#This Row],[$+Warr]]/Table5[[#This Row],[SizTB]]</f>
        <v>43.915933333333328</v>
      </c>
      <c r="Y65" s="10">
        <f>Table5[[#This Row],[$PerTB]]/CompareWarrYrs</f>
        <v>8.7831866666666656</v>
      </c>
      <c r="Z65" s="7"/>
      <c r="AA65" s="58">
        <f>(((Table5[[#This Row],[Watts Active]]*Power_On_Hours_Year/1000)*Active_Duty_Cycle)+((Table5[[#This Row],[Watts Idle]]*Power_On_Hours_Year/1000)*(100%-Active_Duty_Cycle)))*CostPerKWH</f>
        <v>5.2594560000000001</v>
      </c>
      <c r="AB65" s="59">
        <f>Table5[[#This Row],[Energy$year]]/Table5[[#This Row],[SizTB]]</f>
        <v>1.753152</v>
      </c>
      <c r="AC65" s="51"/>
    </row>
    <row r="66" spans="1:29" x14ac:dyDescent="0.25">
      <c r="A66" s="1">
        <v>43019</v>
      </c>
      <c r="B66" t="s">
        <v>10</v>
      </c>
      <c r="C66" s="122" t="s">
        <v>13</v>
      </c>
      <c r="D66" s="37" t="s">
        <v>57</v>
      </c>
      <c r="E66" s="134">
        <v>3.5</v>
      </c>
      <c r="F66" s="119">
        <v>4</v>
      </c>
      <c r="G66" s="53">
        <v>5900</v>
      </c>
      <c r="H66" s="5">
        <v>5.0999999999999996</v>
      </c>
      <c r="I66" s="5">
        <v>9.5</v>
      </c>
      <c r="J66" s="86">
        <f>(Table5[[#This Row],[RPM]]/5400-1)</f>
        <v>9.259259259259256E-2</v>
      </c>
      <c r="K66" s="56">
        <v>180</v>
      </c>
      <c r="L66">
        <v>3</v>
      </c>
      <c r="M66" s="47">
        <v>600000</v>
      </c>
      <c r="N66">
        <v>180</v>
      </c>
      <c r="O66" s="47">
        <v>1000000</v>
      </c>
      <c r="P66" s="46">
        <f t="shared" si="5"/>
        <v>100000000000000</v>
      </c>
      <c r="Q66" s="74">
        <f t="shared" ref="Q66:Q68" si="6">12*1.8</f>
        <v>21.6</v>
      </c>
      <c r="R66" s="5">
        <v>4.8</v>
      </c>
      <c r="S66" s="5">
        <v>3.95</v>
      </c>
      <c r="T66" s="75">
        <v>0.5</v>
      </c>
      <c r="U66" s="70">
        <v>129</v>
      </c>
      <c r="V66" s="10">
        <f>Table5[[#This Row],[Cost]]/Table5[[#This Row],[SizTB]]</f>
        <v>32.25</v>
      </c>
      <c r="W66" s="11">
        <f>Table5[[#This Row],[Cost]]+((CompareWarrYrs-Table5[[#This Row],[Warnty]])*(Incremental_Warr_Yr*Table5[[#This Row],[Cost]]))</f>
        <v>157.38</v>
      </c>
      <c r="X66" s="6">
        <f>Table5[[#This Row],[$+Warr]]/Table5[[#This Row],[SizTB]]</f>
        <v>39.344999999999999</v>
      </c>
      <c r="Y66" s="10">
        <f>Table5[[#This Row],[$PerTB]]/CompareWarrYrs</f>
        <v>7.8689999999999998</v>
      </c>
      <c r="Z66" s="7"/>
      <c r="AA66" s="58">
        <f>(((Table5[[#This Row],[Watts Active]]*Power_On_Hours_Year/1000)*Active_Duty_Cycle)+((Table5[[#This Row],[Watts Idle]]*Power_On_Hours_Year/1000)*(100%-Active_Duty_Cycle)))*CostPerKWH</f>
        <v>4.5143664000000001</v>
      </c>
      <c r="AB66" s="59">
        <f>Table5[[#This Row],[Energy$year]]/Table5[[#This Row],[SizTB]]</f>
        <v>1.1285916</v>
      </c>
      <c r="AC66" s="51"/>
    </row>
    <row r="67" spans="1:29" x14ac:dyDescent="0.25">
      <c r="A67" s="1">
        <v>43019</v>
      </c>
      <c r="B67" t="s">
        <v>10</v>
      </c>
      <c r="C67" s="122" t="s">
        <v>13</v>
      </c>
      <c r="D67" s="37" t="s">
        <v>57</v>
      </c>
      <c r="E67" s="134">
        <v>3.5</v>
      </c>
      <c r="F67" s="119">
        <v>6</v>
      </c>
      <c r="G67" s="53">
        <v>7200</v>
      </c>
      <c r="H67" s="5">
        <v>4</v>
      </c>
      <c r="I67" s="5">
        <v>9.5</v>
      </c>
      <c r="J67" s="86">
        <f>(Table5[[#This Row],[RPM]]/5400-1)</f>
        <v>0.33333333333333326</v>
      </c>
      <c r="K67" s="56">
        <v>210</v>
      </c>
      <c r="L67">
        <v>3</v>
      </c>
      <c r="M67" s="47">
        <v>600000</v>
      </c>
      <c r="N67">
        <v>180</v>
      </c>
      <c r="O67" s="47">
        <v>1000000</v>
      </c>
      <c r="P67" s="46">
        <v>1000000000000000</v>
      </c>
      <c r="Q67" s="74">
        <f t="shared" si="6"/>
        <v>21.6</v>
      </c>
      <c r="R67" s="5">
        <v>8.1</v>
      </c>
      <c r="S67" s="5">
        <v>7.2</v>
      </c>
      <c r="T67" s="75">
        <v>0.6</v>
      </c>
      <c r="U67" s="70">
        <v>203.99</v>
      </c>
      <c r="V67" s="10">
        <f>Table5[[#This Row],[Cost]]/Table5[[#This Row],[SizTB]]</f>
        <v>33.998333333333335</v>
      </c>
      <c r="W67" s="11">
        <f>Table5[[#This Row],[Cost]]+((CompareWarrYrs-Table5[[#This Row],[Warnty]])*(Incremental_Warr_Yr*Table5[[#This Row],[Cost]]))</f>
        <v>248.86780000000002</v>
      </c>
      <c r="X67" s="6">
        <f>Table5[[#This Row],[$+Warr]]/Table5[[#This Row],[SizTB]]</f>
        <v>41.477966666666667</v>
      </c>
      <c r="Y67" s="10">
        <f>Table5[[#This Row],[$PerTB]]/CompareWarrYrs</f>
        <v>8.2955933333333327</v>
      </c>
      <c r="Z67" s="7"/>
      <c r="AA67" s="58">
        <f>(((Table5[[#This Row],[Watts Active]]*Power_On_Hours_Year/1000)*Active_Duty_Cycle)+((Table5[[#This Row],[Watts Idle]]*Power_On_Hours_Year/1000)*(100%-Active_Duty_Cycle)))*CostPerKWH</f>
        <v>8.0864136000000002</v>
      </c>
      <c r="AB67" s="59">
        <f>Table5[[#This Row],[Energy$year]]/Table5[[#This Row],[SizTB]]</f>
        <v>1.3477356</v>
      </c>
      <c r="AC67" s="51"/>
    </row>
    <row r="68" spans="1:29" x14ac:dyDescent="0.25">
      <c r="A68" s="1">
        <v>43019</v>
      </c>
      <c r="B68" t="s">
        <v>10</v>
      </c>
      <c r="C68" s="122" t="s">
        <v>13</v>
      </c>
      <c r="D68" s="37" t="s">
        <v>57</v>
      </c>
      <c r="E68" s="134">
        <v>3.5</v>
      </c>
      <c r="F68" s="119">
        <v>8</v>
      </c>
      <c r="G68" s="53">
        <v>7200</v>
      </c>
      <c r="H68" s="5">
        <v>4</v>
      </c>
      <c r="I68" s="5">
        <v>9.5</v>
      </c>
      <c r="J68" s="86">
        <f>(Table5[[#This Row],[RPM]]/5400-1)</f>
        <v>0.33333333333333326</v>
      </c>
      <c r="K68" s="56">
        <v>210</v>
      </c>
      <c r="L68">
        <v>3</v>
      </c>
      <c r="M68" s="47">
        <v>600000</v>
      </c>
      <c r="N68">
        <v>180</v>
      </c>
      <c r="O68" s="47">
        <v>1000000</v>
      </c>
      <c r="P68" s="46">
        <v>1000000000000000</v>
      </c>
      <c r="Q68" s="74">
        <f t="shared" si="6"/>
        <v>21.6</v>
      </c>
      <c r="R68" s="5">
        <v>8.8000000000000007</v>
      </c>
      <c r="S68" s="5">
        <v>7.6</v>
      </c>
      <c r="T68" s="75">
        <v>0.6</v>
      </c>
      <c r="U68" s="70">
        <v>269.97000000000003</v>
      </c>
      <c r="V68" s="10">
        <f>Table5[[#This Row],[Cost]]/Table5[[#This Row],[SizTB]]</f>
        <v>33.746250000000003</v>
      </c>
      <c r="W68" s="11">
        <f>Table5[[#This Row],[Cost]]+((CompareWarrYrs-Table5[[#This Row],[Warnty]])*(Incremental_Warr_Yr*Table5[[#This Row],[Cost]]))</f>
        <v>329.36340000000001</v>
      </c>
      <c r="X68" s="6">
        <f>Table5[[#This Row],[$+Warr]]/Table5[[#This Row],[SizTB]]</f>
        <v>41.170425000000002</v>
      </c>
      <c r="Y68" s="10">
        <f>Table5[[#This Row],[$PerTB]]/CompareWarrYrs</f>
        <v>8.2340850000000003</v>
      </c>
      <c r="Z68" s="7"/>
      <c r="AA68" s="58">
        <f>(((Table5[[#This Row],[Watts Active]]*Power_On_Hours_Year/1000)*Active_Duty_Cycle)+((Table5[[#This Row],[Watts Idle]]*Power_On_Hours_Year/1000)*(100%-Active_Duty_Cycle)))*CostPerKWH</f>
        <v>8.5904448000000002</v>
      </c>
      <c r="AB68" s="59">
        <f>Table5[[#This Row],[Energy$year]]/Table5[[#This Row],[SizTB]]</f>
        <v>1.0738056</v>
      </c>
      <c r="AC68" s="51"/>
    </row>
    <row r="69" spans="1:29" x14ac:dyDescent="0.25">
      <c r="A69" s="1">
        <v>43019</v>
      </c>
      <c r="B69" t="s">
        <v>10</v>
      </c>
      <c r="C69" s="122" t="s">
        <v>13</v>
      </c>
      <c r="D69" s="37" t="s">
        <v>57</v>
      </c>
      <c r="E69" s="134">
        <v>3.5</v>
      </c>
      <c r="F69" s="119">
        <v>10</v>
      </c>
      <c r="G69" s="53">
        <v>7200</v>
      </c>
      <c r="H69" s="5"/>
      <c r="I69" s="5"/>
      <c r="J69" s="86">
        <f>(Table5[[#This Row],[RPM]]/5400-1)</f>
        <v>0.33333333333333326</v>
      </c>
      <c r="K69" s="56">
        <v>210</v>
      </c>
      <c r="L69">
        <v>3</v>
      </c>
      <c r="M69" s="47">
        <v>600000</v>
      </c>
      <c r="N69">
        <v>180</v>
      </c>
      <c r="O69" s="47">
        <v>1000000</v>
      </c>
      <c r="P69" s="46">
        <v>1000000000000000</v>
      </c>
      <c r="Q69" s="74">
        <f>12*1.8</f>
        <v>21.6</v>
      </c>
      <c r="R69" s="5">
        <v>7.8</v>
      </c>
      <c r="S69" s="5">
        <v>5</v>
      </c>
      <c r="T69" s="75">
        <v>0.8</v>
      </c>
      <c r="U69" s="70">
        <v>379.99</v>
      </c>
      <c r="V69" s="10">
        <f>Table5[[#This Row],[Cost]]/Table5[[#This Row],[SizTB]]</f>
        <v>37.999000000000002</v>
      </c>
      <c r="W69" s="11">
        <f>Table5[[#This Row],[Cost]]+((CompareWarrYrs-Table5[[#This Row],[Warnty]])*(Incremental_Warr_Yr*Table5[[#This Row],[Cost]]))</f>
        <v>463.58780000000002</v>
      </c>
      <c r="X69" s="6">
        <f>Table5[[#This Row],[$+Warr]]/Table5[[#This Row],[SizTB]]</f>
        <v>46.358780000000003</v>
      </c>
      <c r="Y69" s="10">
        <f>Table5[[#This Row],[$PerTB]]/CompareWarrYrs</f>
        <v>9.2717559999999999</v>
      </c>
      <c r="Z69" s="7"/>
      <c r="AA69" s="58">
        <f>(((Table5[[#This Row],[Watts Active]]*Power_On_Hours_Year/1000)*Active_Duty_Cycle)+((Table5[[#This Row],[Watts Idle]]*Power_On_Hours_Year/1000)*(100%-Active_Duty_Cycle)))*CostPerKWH</f>
        <v>6.0922032000000002</v>
      </c>
      <c r="AB69" s="59">
        <f>Table5[[#This Row],[Energy$year]]/Table5[[#This Row],[SizTB]]</f>
        <v>0.60922032000000004</v>
      </c>
      <c r="AC69" s="51"/>
    </row>
    <row r="70" spans="1:29" x14ac:dyDescent="0.25">
      <c r="A70" s="1">
        <v>43007</v>
      </c>
      <c r="B70" t="s">
        <v>10</v>
      </c>
      <c r="C70" s="122" t="s">
        <v>17</v>
      </c>
      <c r="D70" s="37" t="s">
        <v>57</v>
      </c>
      <c r="E70" s="134">
        <v>3.5</v>
      </c>
      <c r="F70" s="119">
        <v>2</v>
      </c>
      <c r="G70" s="53">
        <v>7200</v>
      </c>
      <c r="H70" s="5">
        <v>4.16</v>
      </c>
      <c r="I70" s="5"/>
      <c r="J70" s="86">
        <f>(Table5[[#This Row],[RPM]]/5400-1)</f>
        <v>0.33333333333333326</v>
      </c>
      <c r="K70" s="56">
        <v>195</v>
      </c>
      <c r="L70">
        <v>5</v>
      </c>
      <c r="M70" s="47"/>
      <c r="N70">
        <v>300</v>
      </c>
      <c r="O70" s="47">
        <v>1200000</v>
      </c>
      <c r="P70" s="46">
        <v>1000000000000000</v>
      </c>
      <c r="Q70" s="74">
        <f>12*2</f>
        <v>24</v>
      </c>
      <c r="R70" s="5">
        <v>6.5</v>
      </c>
      <c r="S70" s="5">
        <v>4.6100000000000003</v>
      </c>
      <c r="T70" s="75">
        <v>0.8</v>
      </c>
      <c r="U70" s="70">
        <v>144.99</v>
      </c>
      <c r="V70" s="10">
        <f>Table5[[#This Row],[Cost]]/Table5[[#This Row],[SizTB]]</f>
        <v>72.495000000000005</v>
      </c>
      <c r="W70" s="11">
        <f>Table5[[#This Row],[Cost]]+((CompareWarrYrs-Table5[[#This Row],[Warnty]])*(Incremental_Warr_Yr*Table5[[#This Row],[Cost]]))</f>
        <v>144.99</v>
      </c>
      <c r="X70" s="6">
        <f>Table5[[#This Row],[$+Warr]]/Table5[[#This Row],[SizTB]]</f>
        <v>72.495000000000005</v>
      </c>
      <c r="Y70" s="10">
        <f>Table5[[#This Row],[$PerTB]]/CompareWarrYrs</f>
        <v>14.499000000000001</v>
      </c>
      <c r="Z70" s="7"/>
      <c r="AA70" s="58">
        <f>(((Table5[[#This Row],[Watts Active]]*Power_On_Hours_Year/1000)*Active_Duty_Cycle)+((Table5[[#This Row],[Watts Idle]]*Power_On_Hours_Year/1000)*(100%-Active_Duty_Cycle)))*CostPerKWH</f>
        <v>5.4654513600000012</v>
      </c>
      <c r="AB70" s="61">
        <f>Table5[[#This Row],[Energy$year]]/Table5[[#This Row],[SizTB]]</f>
        <v>2.7327256800000006</v>
      </c>
      <c r="AC70" s="51"/>
    </row>
    <row r="71" spans="1:29" x14ac:dyDescent="0.25">
      <c r="A71" s="1">
        <v>43019</v>
      </c>
      <c r="B71" t="s">
        <v>10</v>
      </c>
      <c r="C71" s="122" t="s">
        <v>17</v>
      </c>
      <c r="D71" s="37" t="s">
        <v>57</v>
      </c>
      <c r="E71" s="134">
        <v>3.5</v>
      </c>
      <c r="F71" s="119">
        <v>4</v>
      </c>
      <c r="G71" s="53">
        <v>7200</v>
      </c>
      <c r="H71" s="5">
        <v>4.16</v>
      </c>
      <c r="I71" s="5"/>
      <c r="J71" s="86">
        <f>(Table5[[#This Row],[RPM]]/5400-1)</f>
        <v>0.33333333333333326</v>
      </c>
      <c r="K71" s="56">
        <v>214</v>
      </c>
      <c r="L71">
        <v>5</v>
      </c>
      <c r="M71" s="47"/>
      <c r="N71">
        <v>300</v>
      </c>
      <c r="O71" s="47">
        <v>1200000</v>
      </c>
      <c r="P71" s="46">
        <v>1000000000000000</v>
      </c>
      <c r="Q71" s="74">
        <f>12*2</f>
        <v>24</v>
      </c>
      <c r="R71" s="5">
        <v>8.5</v>
      </c>
      <c r="S71" s="5">
        <v>5.45</v>
      </c>
      <c r="T71" s="75">
        <v>0.6</v>
      </c>
      <c r="U71" s="70">
        <v>189.99</v>
      </c>
      <c r="V71" s="10">
        <f>Table5[[#This Row],[Cost]]/Table5[[#This Row],[SizTB]]</f>
        <v>47.497500000000002</v>
      </c>
      <c r="W71" s="11">
        <f>Table5[[#This Row],[Cost]]+((CompareWarrYrs-Table5[[#This Row],[Warnty]])*(Incremental_Warr_Yr*Table5[[#This Row],[Cost]]))</f>
        <v>189.99</v>
      </c>
      <c r="X71" s="6">
        <f>Table5[[#This Row],[$+Warr]]/Table5[[#This Row],[SizTB]]</f>
        <v>47.497500000000002</v>
      </c>
      <c r="Y71" s="10">
        <f>Table5[[#This Row],[$PerTB]]/CompareWarrYrs</f>
        <v>9.4995000000000012</v>
      </c>
      <c r="Z71" s="7"/>
      <c r="AA71" s="58">
        <f>(((Table5[[#This Row],[Watts Active]]*Power_On_Hours_Year/1000)*Active_Duty_Cycle)+((Table5[[#This Row],[Watts Idle]]*Power_On_Hours_Year/1000)*(100%-Active_Duty_Cycle)))*CostPerKWH</f>
        <v>6.6400632000000002</v>
      </c>
      <c r="AB71" s="61">
        <f>Table5[[#This Row],[Energy$year]]/Table5[[#This Row],[SizTB]]</f>
        <v>1.6600158</v>
      </c>
      <c r="AC71" s="51"/>
    </row>
    <row r="72" spans="1:29" x14ac:dyDescent="0.25">
      <c r="A72" s="1">
        <v>43019</v>
      </c>
      <c r="B72" t="s">
        <v>10</v>
      </c>
      <c r="C72" s="122" t="s">
        <v>17</v>
      </c>
      <c r="D72" s="37" t="s">
        <v>57</v>
      </c>
      <c r="E72" s="134">
        <v>3.5</v>
      </c>
      <c r="F72" s="119">
        <v>6</v>
      </c>
      <c r="G72" s="53">
        <v>7200</v>
      </c>
      <c r="H72" s="5">
        <v>4.16</v>
      </c>
      <c r="I72" s="5"/>
      <c r="J72" s="86">
        <f>(Table5[[#This Row],[RPM]]/5400-1)</f>
        <v>0.33333333333333326</v>
      </c>
      <c r="K72" s="56">
        <v>214</v>
      </c>
      <c r="L72">
        <v>5</v>
      </c>
      <c r="M72" s="47"/>
      <c r="N72">
        <v>300</v>
      </c>
      <c r="O72" s="47">
        <v>1200000</v>
      </c>
      <c r="P72" s="46">
        <v>1000000000000000</v>
      </c>
      <c r="Q72" s="74">
        <f>12*2</f>
        <v>24</v>
      </c>
      <c r="R72" s="5">
        <v>8.1</v>
      </c>
      <c r="S72" s="5">
        <v>7.5</v>
      </c>
      <c r="T72" s="75">
        <v>0.6</v>
      </c>
      <c r="U72" s="70">
        <v>269.99</v>
      </c>
      <c r="V72" s="10">
        <f>Table5[[#This Row],[Cost]]/Table5[[#This Row],[SizTB]]</f>
        <v>44.998333333333335</v>
      </c>
      <c r="W72" s="11">
        <f>Table5[[#This Row],[Cost]]+((CompareWarrYrs-Table5[[#This Row],[Warnty]])*(Incremental_Warr_Yr*Table5[[#This Row],[Cost]]))</f>
        <v>269.99</v>
      </c>
      <c r="X72" s="6">
        <f>Table5[[#This Row],[$+Warr]]/Table5[[#This Row],[SizTB]]</f>
        <v>44.998333333333335</v>
      </c>
      <c r="Y72" s="10">
        <f>Table5[[#This Row],[$PerTB]]/CompareWarrYrs</f>
        <v>8.9996666666666663</v>
      </c>
      <c r="Z72" s="7"/>
      <c r="AA72" s="58">
        <f>(((Table5[[#This Row],[Watts Active]]*Power_On_Hours_Year/1000)*Active_Duty_Cycle)+((Table5[[#This Row],[Watts Idle]]*Power_On_Hours_Year/1000)*(100%-Active_Duty_Cycle)))*CostPerKWH</f>
        <v>8.3493864000000002</v>
      </c>
      <c r="AB72" s="61">
        <f>Table5[[#This Row],[Energy$year]]/Table5[[#This Row],[SizTB]]</f>
        <v>1.3915644</v>
      </c>
      <c r="AC72" s="51"/>
    </row>
    <row r="73" spans="1:29" x14ac:dyDescent="0.25">
      <c r="A73" s="1">
        <v>42981</v>
      </c>
      <c r="B73" t="s">
        <v>10</v>
      </c>
      <c r="C73" s="122" t="s">
        <v>17</v>
      </c>
      <c r="D73" s="37" t="s">
        <v>57</v>
      </c>
      <c r="E73" s="134">
        <v>3.5</v>
      </c>
      <c r="F73" s="119">
        <v>8</v>
      </c>
      <c r="G73" s="53">
        <v>7200</v>
      </c>
      <c r="H73" s="5">
        <v>4.16</v>
      </c>
      <c r="I73" s="5"/>
      <c r="J73" s="86">
        <f>(Table5[[#This Row],[RPM]]/5400-1)</f>
        <v>0.33333333333333326</v>
      </c>
      <c r="K73" s="56">
        <v>214</v>
      </c>
      <c r="L73">
        <v>5</v>
      </c>
      <c r="M73" s="47"/>
      <c r="N73">
        <v>300</v>
      </c>
      <c r="O73" s="47">
        <v>1200000</v>
      </c>
      <c r="P73" s="46">
        <v>1000000000000000</v>
      </c>
      <c r="Q73" s="74">
        <f>12*2</f>
        <v>24</v>
      </c>
      <c r="R73" s="5">
        <v>7.4</v>
      </c>
      <c r="S73" s="5">
        <v>4.4000000000000004</v>
      </c>
      <c r="T73" s="75">
        <v>0.8</v>
      </c>
      <c r="U73" s="70">
        <v>349.99</v>
      </c>
      <c r="V73" s="10">
        <f>Table5[[#This Row],[Cost]]/Table5[[#This Row],[SizTB]]</f>
        <v>43.748750000000001</v>
      </c>
      <c r="W73" s="11">
        <f>Table5[[#This Row],[Cost]]+((CompareWarrYrs-Table5[[#This Row],[Warnty]])*(Incremental_Warr_Yr*Table5[[#This Row],[Cost]]))</f>
        <v>349.99</v>
      </c>
      <c r="X73" s="6">
        <f>Table5[[#This Row],[$+Warr]]/Table5[[#This Row],[SizTB]]</f>
        <v>43.748750000000001</v>
      </c>
      <c r="Y73" s="10">
        <f>Table5[[#This Row],[$PerTB]]/CompareWarrYrs</f>
        <v>8.7497500000000006</v>
      </c>
      <c r="Z73" s="7"/>
      <c r="AA73" s="58">
        <f>(((Table5[[#This Row],[Watts Active]]*Power_On_Hours_Year/1000)*Active_Duty_Cycle)+((Table5[[#This Row],[Watts Idle]]*Power_On_Hours_Year/1000)*(100%-Active_Duty_Cycle)))*CostPerKWH</f>
        <v>5.478600000000001</v>
      </c>
      <c r="AB73" s="61">
        <f>Table5[[#This Row],[Energy$year]]/Table5[[#This Row],[SizTB]]</f>
        <v>0.68482500000000013</v>
      </c>
      <c r="AC73" s="51"/>
    </row>
    <row r="74" spans="1:29" x14ac:dyDescent="0.25">
      <c r="A74" s="1">
        <v>43019</v>
      </c>
      <c r="B74" t="s">
        <v>10</v>
      </c>
      <c r="C74" s="122" t="s">
        <v>17</v>
      </c>
      <c r="D74" s="37" t="s">
        <v>57</v>
      </c>
      <c r="E74" s="134">
        <v>3.5</v>
      </c>
      <c r="F74" s="119">
        <v>10</v>
      </c>
      <c r="G74" s="53">
        <v>7200</v>
      </c>
      <c r="H74" s="5">
        <v>4.16</v>
      </c>
      <c r="I74" s="5"/>
      <c r="J74" s="86">
        <f>(Table5[[#This Row],[RPM]]/5400-1)</f>
        <v>0.33333333333333326</v>
      </c>
      <c r="K74" s="56">
        <v>214</v>
      </c>
      <c r="L74">
        <v>5</v>
      </c>
      <c r="M74" s="47"/>
      <c r="N74">
        <v>300</v>
      </c>
      <c r="O74" s="47">
        <v>1200000</v>
      </c>
      <c r="P74" s="46">
        <v>1000000000000000</v>
      </c>
      <c r="Q74" s="74">
        <v>24</v>
      </c>
      <c r="R74" s="5">
        <v>7.4</v>
      </c>
      <c r="S74" s="5">
        <v>5</v>
      </c>
      <c r="T74" s="75">
        <v>0.8</v>
      </c>
      <c r="U74" s="70">
        <v>429.99</v>
      </c>
      <c r="V74" s="10">
        <f>Table5[[#This Row],[Cost]]/Table5[[#This Row],[SizTB]]</f>
        <v>42.999000000000002</v>
      </c>
      <c r="W74" s="11">
        <f>Table5[[#This Row],[Cost]]+((CompareWarrYrs-Table5[[#This Row],[Warnty]])*(Incremental_Warr_Yr*Table5[[#This Row],[Cost]]))</f>
        <v>429.99</v>
      </c>
      <c r="X74" s="6">
        <f>Table5[[#This Row],[$+Warr]]/Table5[[#This Row],[SizTB]]</f>
        <v>42.999000000000002</v>
      </c>
      <c r="Y74" s="10">
        <f>Table5[[#This Row],[$PerTB]]/CompareWarrYrs</f>
        <v>8.5998000000000001</v>
      </c>
      <c r="Z74" s="7"/>
      <c r="AA74" s="58">
        <f>(((Table5[[#This Row],[Watts Active]]*Power_On_Hours_Year/1000)*Active_Duty_Cycle)+((Table5[[#This Row],[Watts Idle]]*Power_On_Hours_Year/1000)*(100%-Active_Duty_Cycle)))*CostPerKWH</f>
        <v>6.0045456000000001</v>
      </c>
      <c r="AB74" s="61">
        <f>Table5[[#This Row],[Energy$year]]/Table5[[#This Row],[SizTB]]</f>
        <v>0.60045455999999997</v>
      </c>
      <c r="AC74" s="51"/>
    </row>
    <row r="75" spans="1:29" ht="15.75" thickBot="1" x14ac:dyDescent="0.3">
      <c r="A75" s="94">
        <v>42960</v>
      </c>
      <c r="B75" s="95" t="s">
        <v>10</v>
      </c>
      <c r="C75" s="123" t="s">
        <v>14</v>
      </c>
      <c r="D75" s="96"/>
      <c r="E75" s="120">
        <v>3.5</v>
      </c>
      <c r="F75" s="120">
        <v>4</v>
      </c>
      <c r="G75" s="97">
        <v>5900</v>
      </c>
      <c r="H75" s="98"/>
      <c r="I75" s="98"/>
      <c r="J75" s="99">
        <f>(Table5[[#This Row],[RPM]]/5400-1)</f>
        <v>9.259259259259256E-2</v>
      </c>
      <c r="K75" s="100"/>
      <c r="L75" s="95">
        <v>3</v>
      </c>
      <c r="M75" s="101"/>
      <c r="N75" s="95"/>
      <c r="O75" s="101"/>
      <c r="P75" s="102"/>
      <c r="Q75" s="103">
        <v>24</v>
      </c>
      <c r="R75" s="98">
        <v>6.49</v>
      </c>
      <c r="S75" s="98">
        <v>4.59</v>
      </c>
      <c r="T75" s="104">
        <v>0.77</v>
      </c>
      <c r="U75" s="105">
        <v>189.99</v>
      </c>
      <c r="V75" s="106">
        <f>Table5[[#This Row],[Cost]]/Table5[[#This Row],[SizTB]]</f>
        <v>47.497500000000002</v>
      </c>
      <c r="W75" s="107">
        <f>Table5[[#This Row],[Cost]]+((CompareWarrYrs-Table5[[#This Row],[Warnty]])*(Incremental_Warr_Yr*Table5[[#This Row],[Cost]]))</f>
        <v>231.7878</v>
      </c>
      <c r="X75" s="108">
        <f>Table5[[#This Row],[$+Warr]]/Table5[[#This Row],[SizTB]]</f>
        <v>57.946950000000001</v>
      </c>
      <c r="Y75" s="106">
        <f>Table5[[#This Row],[$PerTB]]/CompareWarrYrs</f>
        <v>11.58939</v>
      </c>
      <c r="Z75" s="95"/>
      <c r="AA75" s="110">
        <f>(((Table5[[#This Row],[Watts Active]]*Power_On_Hours_Year/1000)*Active_Duty_Cycle)+((Table5[[#This Row],[Watts Idle]]*Power_On_Hours_Year/1000)*(100%-Active_Duty_Cycle)))*CostPerKWH</f>
        <v>5.4457284000000001</v>
      </c>
      <c r="AB75" s="113">
        <f>Table5[[#This Row],[Energy$year]]/Table5[[#This Row],[SizTB]]</f>
        <v>1.3614321</v>
      </c>
      <c r="AC75" s="112"/>
    </row>
    <row r="76" spans="1:29" ht="15.75" thickTop="1" x14ac:dyDescent="0.25">
      <c r="A76" s="1">
        <v>43019</v>
      </c>
      <c r="B76" t="s">
        <v>47</v>
      </c>
      <c r="C76" s="122" t="s">
        <v>48</v>
      </c>
      <c r="D76" s="37" t="s">
        <v>57</v>
      </c>
      <c r="E76" s="134">
        <v>3.5</v>
      </c>
      <c r="F76" s="119">
        <v>4</v>
      </c>
      <c r="G76" s="53">
        <v>7200</v>
      </c>
      <c r="H76" s="5">
        <v>4.17</v>
      </c>
      <c r="I76" s="5"/>
      <c r="J76" s="86">
        <f>(Table5[[#This Row],[RPM]]/5400-1)</f>
        <v>0.33333333333333326</v>
      </c>
      <c r="K76" s="56">
        <v>200</v>
      </c>
      <c r="L76">
        <v>3</v>
      </c>
      <c r="M76" s="47"/>
      <c r="N76">
        <v>180</v>
      </c>
      <c r="O76" s="47">
        <v>1000000</v>
      </c>
      <c r="P76" s="46">
        <f t="shared" ref="P76:P78" si="7">10^14</f>
        <v>100000000000000</v>
      </c>
      <c r="Q76" s="74"/>
      <c r="R76" s="5">
        <v>9.6</v>
      </c>
      <c r="S76" s="5">
        <v>5.2</v>
      </c>
      <c r="T76" s="75"/>
      <c r="U76" s="70">
        <v>129.99</v>
      </c>
      <c r="V76" s="10">
        <f>Table5[[#This Row],[Cost]]/Table5[[#This Row],[SizTB]]</f>
        <v>32.497500000000002</v>
      </c>
      <c r="W76" s="11">
        <f>Table5[[#This Row],[Cost]]+((CompareWarrYrs-Table5[[#This Row],[Warnty]])*(Incremental_Warr_Yr*Table5[[#This Row],[Cost]]))</f>
        <v>158.58780000000002</v>
      </c>
      <c r="X76" s="6">
        <f>Table5[[#This Row],[$+Warr]]/Table5[[#This Row],[SizTB]]</f>
        <v>39.646950000000004</v>
      </c>
      <c r="Y76" s="10">
        <f>Table5[[#This Row],[$PerTB]]/CompareWarrYrs</f>
        <v>7.9293900000000006</v>
      </c>
      <c r="Z76" s="13"/>
      <c r="AA76" s="58">
        <f>(((Table5[[#This Row],[Watts Active]]*Power_On_Hours_Year/1000)*Active_Duty_Cycle)+((Table5[[#This Row],[Watts Idle]]*Power_On_Hours_Year/1000)*(100%-Active_Duty_Cycle)))*CostPerKWH</f>
        <v>6.6619776000000011</v>
      </c>
      <c r="AB76" s="61">
        <f>Table5[[#This Row],[Energy$year]]/Table5[[#This Row],[SizTB]]</f>
        <v>1.6654944000000003</v>
      </c>
      <c r="AC76" s="51"/>
    </row>
    <row r="77" spans="1:29" x14ac:dyDescent="0.25">
      <c r="A77" s="1">
        <v>43019</v>
      </c>
      <c r="B77" t="s">
        <v>47</v>
      </c>
      <c r="C77" s="122" t="s">
        <v>48</v>
      </c>
      <c r="D77" s="37" t="s">
        <v>57</v>
      </c>
      <c r="E77" s="134">
        <v>3.5</v>
      </c>
      <c r="F77" s="119">
        <v>6</v>
      </c>
      <c r="G77" s="53">
        <v>7200</v>
      </c>
      <c r="H77" s="5">
        <v>4.17</v>
      </c>
      <c r="I77" s="5"/>
      <c r="J77" s="86">
        <f>(Table5[[#This Row],[RPM]]/5400-1)</f>
        <v>0.33333333333333326</v>
      </c>
      <c r="K77" s="56">
        <v>210</v>
      </c>
      <c r="L77">
        <v>3</v>
      </c>
      <c r="M77" s="47"/>
      <c r="N77">
        <v>180</v>
      </c>
      <c r="O77" s="47">
        <v>1000000</v>
      </c>
      <c r="P77" s="46">
        <f t="shared" si="7"/>
        <v>100000000000000</v>
      </c>
      <c r="Q77" s="74"/>
      <c r="R77" s="5">
        <v>10.1</v>
      </c>
      <c r="S77" s="5">
        <v>6.7</v>
      </c>
      <c r="T77" s="75"/>
      <c r="U77" s="70">
        <v>197.97</v>
      </c>
      <c r="V77" s="10">
        <f>Table5[[#This Row],[Cost]]/Table5[[#This Row],[SizTB]]</f>
        <v>32.994999999999997</v>
      </c>
      <c r="W77" s="11">
        <f>Table5[[#This Row],[Cost]]+((CompareWarrYrs-Table5[[#This Row],[Warnty]])*(Incremental_Warr_Yr*Table5[[#This Row],[Cost]]))</f>
        <v>241.52340000000001</v>
      </c>
      <c r="X77" s="6">
        <f>Table5[[#This Row],[$+Warr]]/Table5[[#This Row],[SizTB]]</f>
        <v>40.253900000000002</v>
      </c>
      <c r="Y77" s="10">
        <f>Table5[[#This Row],[$PerTB]]/CompareWarrYrs</f>
        <v>8.0507799999999996</v>
      </c>
      <c r="Z77" s="13"/>
      <c r="AA77" s="58">
        <f>(((Table5[[#This Row],[Watts Active]]*Power_On_Hours_Year/1000)*Active_Duty_Cycle)+((Table5[[#This Row],[Watts Idle]]*Power_On_Hours_Year/1000)*(100%-Active_Duty_Cycle)))*CostPerKWH</f>
        <v>8.0864136000000002</v>
      </c>
      <c r="AB77" s="61">
        <f>Table5[[#This Row],[Energy$year]]/Table5[[#This Row],[SizTB]]</f>
        <v>1.3477356</v>
      </c>
      <c r="AC77" s="51"/>
    </row>
    <row r="78" spans="1:29" x14ac:dyDescent="0.25">
      <c r="A78" s="1">
        <v>43019</v>
      </c>
      <c r="B78" t="s">
        <v>47</v>
      </c>
      <c r="C78" s="122" t="s">
        <v>48</v>
      </c>
      <c r="D78" s="37" t="s">
        <v>57</v>
      </c>
      <c r="E78" s="134">
        <v>3.5</v>
      </c>
      <c r="F78" s="119">
        <v>8</v>
      </c>
      <c r="G78" s="53">
        <v>7200</v>
      </c>
      <c r="H78" s="5">
        <v>4.17</v>
      </c>
      <c r="I78" s="5"/>
      <c r="J78" s="86">
        <f>(Table5[[#This Row],[RPM]]/5400-1)</f>
        <v>0.33333333333333326</v>
      </c>
      <c r="K78" s="56">
        <v>240</v>
      </c>
      <c r="L78">
        <v>3</v>
      </c>
      <c r="M78" s="47"/>
      <c r="N78">
        <v>180</v>
      </c>
      <c r="O78" s="47">
        <v>1000000</v>
      </c>
      <c r="P78" s="46">
        <f t="shared" si="7"/>
        <v>100000000000000</v>
      </c>
      <c r="Q78" s="74"/>
      <c r="R78" s="5">
        <v>9.1999999999999993</v>
      </c>
      <c r="S78" s="5">
        <v>6.2</v>
      </c>
      <c r="T78" s="75"/>
      <c r="U78" s="70">
        <v>269.99</v>
      </c>
      <c r="V78" s="10">
        <f>Table5[[#This Row],[Cost]]/Table5[[#This Row],[SizTB]]</f>
        <v>33.748750000000001</v>
      </c>
      <c r="W78" s="11">
        <f>Table5[[#This Row],[Cost]]+((CompareWarrYrs-Table5[[#This Row],[Warnty]])*(Incremental_Warr_Yr*Table5[[#This Row],[Cost]]))</f>
        <v>329.38780000000003</v>
      </c>
      <c r="X78" s="6">
        <f>Table5[[#This Row],[$+Warr]]/Table5[[#This Row],[SizTB]]</f>
        <v>41.173475000000003</v>
      </c>
      <c r="Y78" s="10">
        <f>Table5[[#This Row],[$PerTB]]/CompareWarrYrs</f>
        <v>8.2346950000000003</v>
      </c>
      <c r="Z78" s="13"/>
      <c r="AA78" s="58">
        <f>(((Table5[[#This Row],[Watts Active]]*Power_On_Hours_Year/1000)*Active_Duty_Cycle)+((Table5[[#This Row],[Watts Idle]]*Power_On_Hours_Year/1000)*(100%-Active_Duty_Cycle)))*CostPerKWH</f>
        <v>7.4508960000000002</v>
      </c>
      <c r="AB78" s="61">
        <f>Table5[[#This Row],[Energy$year]]/Table5[[#This Row],[SizTB]]</f>
        <v>0.93136200000000002</v>
      </c>
      <c r="AC78" s="51"/>
    </row>
    <row r="79" spans="1:29" x14ac:dyDescent="0.25">
      <c r="A79" s="1">
        <v>43019</v>
      </c>
      <c r="B79" t="s">
        <v>47</v>
      </c>
      <c r="C79" s="122" t="s">
        <v>63</v>
      </c>
      <c r="D79" s="37"/>
      <c r="E79" s="134">
        <v>3.5</v>
      </c>
      <c r="F79" s="119">
        <v>1</v>
      </c>
      <c r="G79" s="53">
        <v>7200</v>
      </c>
      <c r="H79" s="5">
        <v>4.17</v>
      </c>
      <c r="I79" s="5"/>
      <c r="J79" s="86">
        <f>(Table5[[#This Row],[RPM]]/5400-1)</f>
        <v>0.33333333333333326</v>
      </c>
      <c r="K79" s="56"/>
      <c r="L79">
        <v>2</v>
      </c>
      <c r="M79" s="47"/>
      <c r="O79" s="47"/>
      <c r="P79" s="46"/>
      <c r="Q79" s="74"/>
      <c r="R79" s="5"/>
      <c r="S79" s="5"/>
      <c r="T79" s="75"/>
      <c r="U79" s="70">
        <v>49.99</v>
      </c>
      <c r="V79" s="10">
        <f>Table5[[#This Row],[Cost]]/Table5[[#This Row],[SizTB]]</f>
        <v>49.99</v>
      </c>
      <c r="W79" s="11">
        <f>Table5[[#This Row],[Cost]]+((CompareWarrYrs-Table5[[#This Row],[Warnty]])*(Incremental_Warr_Yr*Table5[[#This Row],[Cost]]))</f>
        <v>66.486699999999999</v>
      </c>
      <c r="X79" s="6">
        <f>Table5[[#This Row],[$+Warr]]/Table5[[#This Row],[SizTB]]</f>
        <v>66.486699999999999</v>
      </c>
      <c r="Y79" s="10">
        <f>Table5[[#This Row],[$PerTB]]/CompareWarrYrs</f>
        <v>13.29734</v>
      </c>
      <c r="Z79" s="13"/>
      <c r="AA79" s="58"/>
      <c r="AB79" s="61"/>
      <c r="AC79" s="51"/>
    </row>
    <row r="80" spans="1:29" x14ac:dyDescent="0.25">
      <c r="A80" s="1">
        <v>43015</v>
      </c>
      <c r="B80" t="s">
        <v>47</v>
      </c>
      <c r="C80" s="122" t="s">
        <v>63</v>
      </c>
      <c r="D80" s="37"/>
      <c r="E80" s="134">
        <v>3.5</v>
      </c>
      <c r="F80" s="119">
        <v>2</v>
      </c>
      <c r="G80" s="53">
        <v>7200</v>
      </c>
      <c r="H80" s="5">
        <v>4.17</v>
      </c>
      <c r="I80" s="5"/>
      <c r="J80" s="86">
        <f>(Table5[[#This Row],[RPM]]/5400-1)</f>
        <v>0.33333333333333326</v>
      </c>
      <c r="K80" s="56"/>
      <c r="L80">
        <v>2</v>
      </c>
      <c r="M80" s="47"/>
      <c r="O80" s="47"/>
      <c r="P80" s="46"/>
      <c r="Q80" s="74"/>
      <c r="R80" s="5"/>
      <c r="S80" s="5"/>
      <c r="T80" s="75"/>
      <c r="U80" s="70">
        <v>71.989999999999995</v>
      </c>
      <c r="V80" s="10">
        <f>Table5[[#This Row],[Cost]]/Table5[[#This Row],[SizTB]]</f>
        <v>35.994999999999997</v>
      </c>
      <c r="W80" s="11">
        <f>Table5[[#This Row],[Cost]]+((CompareWarrYrs-Table5[[#This Row],[Warnty]])*(Incremental_Warr_Yr*Table5[[#This Row],[Cost]]))</f>
        <v>95.74669999999999</v>
      </c>
      <c r="X80" s="6">
        <f>Table5[[#This Row],[$+Warr]]/Table5[[#This Row],[SizTB]]</f>
        <v>47.873349999999995</v>
      </c>
      <c r="Y80" s="10">
        <f>Table5[[#This Row],[$PerTB]]/CompareWarrYrs</f>
        <v>9.5746699999999993</v>
      </c>
      <c r="Z80" s="13"/>
      <c r="AA80" s="58"/>
      <c r="AB80" s="61"/>
      <c r="AC80" s="51"/>
    </row>
    <row r="81" spans="1:29" x14ac:dyDescent="0.25">
      <c r="A81" s="1">
        <v>43019</v>
      </c>
      <c r="B81" t="s">
        <v>47</v>
      </c>
      <c r="C81" s="122" t="s">
        <v>63</v>
      </c>
      <c r="D81" s="37"/>
      <c r="E81" s="134">
        <v>3.5</v>
      </c>
      <c r="F81" s="119">
        <v>3</v>
      </c>
      <c r="G81" s="53">
        <v>7200</v>
      </c>
      <c r="H81" s="5">
        <v>4.17</v>
      </c>
      <c r="I81" s="5"/>
      <c r="J81" s="86">
        <f>(Table5[[#This Row],[RPM]]/5400-1)</f>
        <v>0.33333333333333326</v>
      </c>
      <c r="K81" s="56"/>
      <c r="L81">
        <v>2</v>
      </c>
      <c r="M81" s="47"/>
      <c r="O81" s="47"/>
      <c r="P81" s="46"/>
      <c r="Q81" s="74"/>
      <c r="R81" s="5"/>
      <c r="S81" s="5"/>
      <c r="T81" s="75"/>
      <c r="U81" s="70">
        <v>89.99</v>
      </c>
      <c r="V81" s="10">
        <f>Table5[[#This Row],[Cost]]/Table5[[#This Row],[SizTB]]</f>
        <v>29.996666666666666</v>
      </c>
      <c r="W81" s="11">
        <f>Table5[[#This Row],[Cost]]+((CompareWarrYrs-Table5[[#This Row],[Warnty]])*(Incremental_Warr_Yr*Table5[[#This Row],[Cost]]))</f>
        <v>119.6867</v>
      </c>
      <c r="X81" s="6">
        <f>Table5[[#This Row],[$+Warr]]/Table5[[#This Row],[SizTB]]</f>
        <v>39.895566666666667</v>
      </c>
      <c r="Y81" s="10">
        <f>Table5[[#This Row],[$PerTB]]/CompareWarrYrs</f>
        <v>7.9791133333333333</v>
      </c>
      <c r="Z81" s="13"/>
      <c r="AA81" s="58"/>
      <c r="AB81" s="61"/>
      <c r="AC81" s="51"/>
    </row>
    <row r="82" spans="1:29" x14ac:dyDescent="0.25">
      <c r="A82" s="1">
        <v>43019</v>
      </c>
      <c r="B82" t="s">
        <v>47</v>
      </c>
      <c r="C82" s="122" t="s">
        <v>76</v>
      </c>
      <c r="D82" s="37"/>
      <c r="E82" s="134">
        <v>3.5</v>
      </c>
      <c r="F82" s="119">
        <v>4</v>
      </c>
      <c r="G82" s="53">
        <v>7200</v>
      </c>
      <c r="H82" s="5">
        <v>4.17</v>
      </c>
      <c r="I82" s="5"/>
      <c r="J82" s="86">
        <f>(Table5[[#This Row],[RPM]]/5400-1)</f>
        <v>0.33333333333333326</v>
      </c>
      <c r="K82" s="56"/>
      <c r="L82">
        <v>2</v>
      </c>
      <c r="M82" s="47"/>
      <c r="O82" s="47"/>
      <c r="P82" s="46"/>
      <c r="Q82" s="74"/>
      <c r="R82" s="5"/>
      <c r="S82" s="5"/>
      <c r="T82" s="75"/>
      <c r="U82" s="70">
        <v>129.99</v>
      </c>
      <c r="V82" s="10">
        <f>Table5[[#This Row],[Cost]]/Table5[[#This Row],[SizTB]]</f>
        <v>32.497500000000002</v>
      </c>
      <c r="W82" s="11">
        <f>Table5[[#This Row],[Cost]]+((CompareWarrYrs-Table5[[#This Row],[Warnty]])*(Incremental_Warr_Yr*Table5[[#This Row],[Cost]]))</f>
        <v>172.88670000000002</v>
      </c>
      <c r="X82" s="6">
        <f>Table5[[#This Row],[$+Warr]]/Table5[[#This Row],[SizTB]]</f>
        <v>43.221675000000005</v>
      </c>
      <c r="Y82" s="10">
        <f>Table5[[#This Row],[$PerTB]]/CompareWarrYrs</f>
        <v>8.6443350000000017</v>
      </c>
      <c r="Z82" s="13"/>
      <c r="AA82" s="58"/>
      <c r="AB82" s="61"/>
      <c r="AC82" s="51"/>
    </row>
    <row r="83" spans="1:29" x14ac:dyDescent="0.25">
      <c r="A83" s="1">
        <v>43019</v>
      </c>
      <c r="B83" t="s">
        <v>47</v>
      </c>
      <c r="C83" s="122" t="s">
        <v>76</v>
      </c>
      <c r="D83" s="37"/>
      <c r="E83" s="134">
        <v>3.5</v>
      </c>
      <c r="F83" s="119">
        <v>5</v>
      </c>
      <c r="G83" s="53">
        <v>7200</v>
      </c>
      <c r="H83" s="5">
        <v>4.17</v>
      </c>
      <c r="I83" s="5"/>
      <c r="J83" s="86">
        <f>(Table5[[#This Row],[RPM]]/5400-1)</f>
        <v>0.33333333333333326</v>
      </c>
      <c r="K83" s="56"/>
      <c r="L83">
        <v>2</v>
      </c>
      <c r="M83" s="47"/>
      <c r="O83" s="47"/>
      <c r="P83" s="46"/>
      <c r="Q83" s="74"/>
      <c r="R83" s="5"/>
      <c r="S83" s="5"/>
      <c r="T83" s="75"/>
      <c r="U83" s="70">
        <v>141.97</v>
      </c>
      <c r="V83" s="10">
        <f>Table5[[#This Row],[Cost]]/Table5[[#This Row],[SizTB]]</f>
        <v>28.393999999999998</v>
      </c>
      <c r="W83" s="11">
        <f>Table5[[#This Row],[Cost]]+((CompareWarrYrs-Table5[[#This Row],[Warnty]])*(Incremental_Warr_Yr*Table5[[#This Row],[Cost]]))</f>
        <v>188.8201</v>
      </c>
      <c r="X83" s="6">
        <f>Table5[[#This Row],[$+Warr]]/Table5[[#This Row],[SizTB]]</f>
        <v>37.764020000000002</v>
      </c>
      <c r="Y83" s="10">
        <f>Table5[[#This Row],[$PerTB]]/CompareWarrYrs</f>
        <v>7.5528040000000001</v>
      </c>
      <c r="Z83" s="13"/>
      <c r="AA83" s="58"/>
      <c r="AB83" s="61"/>
      <c r="AC83" s="51"/>
    </row>
    <row r="84" spans="1:29" x14ac:dyDescent="0.25">
      <c r="A84" s="1">
        <v>43019</v>
      </c>
      <c r="B84" t="s">
        <v>47</v>
      </c>
      <c r="C84" s="122" t="s">
        <v>76</v>
      </c>
      <c r="D84" s="37"/>
      <c r="E84" s="134">
        <v>3.5</v>
      </c>
      <c r="F84" s="119">
        <v>6</v>
      </c>
      <c r="G84" s="53">
        <v>7200</v>
      </c>
      <c r="H84" s="5">
        <v>4.17</v>
      </c>
      <c r="I84" s="5"/>
      <c r="J84" s="86">
        <f>(Table5[[#This Row],[RPM]]/5400-1)</f>
        <v>0.33333333333333326</v>
      </c>
      <c r="K84" s="56"/>
      <c r="L84">
        <v>2</v>
      </c>
      <c r="M84" s="47"/>
      <c r="O84" s="47"/>
      <c r="P84" s="46"/>
      <c r="Q84" s="74"/>
      <c r="R84" s="5"/>
      <c r="S84" s="5"/>
      <c r="T84" s="75"/>
      <c r="U84" s="70">
        <v>189.99</v>
      </c>
      <c r="V84" s="10">
        <f>Table5[[#This Row],[Cost]]/Table5[[#This Row],[SizTB]]</f>
        <v>31.665000000000003</v>
      </c>
      <c r="W84" s="11">
        <f>Table5[[#This Row],[Cost]]+((CompareWarrYrs-Table5[[#This Row],[Warnty]])*(Incremental_Warr_Yr*Table5[[#This Row],[Cost]]))</f>
        <v>252.68670000000003</v>
      </c>
      <c r="X84" s="6">
        <f>Table5[[#This Row],[$+Warr]]/Table5[[#This Row],[SizTB]]</f>
        <v>42.114450000000005</v>
      </c>
      <c r="Y84" s="10">
        <f>Table5[[#This Row],[$PerTB]]/CompareWarrYrs</f>
        <v>8.4228900000000007</v>
      </c>
      <c r="Z84" s="13"/>
      <c r="AA84" s="58"/>
      <c r="AB84" s="61"/>
      <c r="AC84" s="51"/>
    </row>
    <row r="85" spans="1:29" ht="15.75" thickBot="1" x14ac:dyDescent="0.3">
      <c r="A85" s="94">
        <v>43019</v>
      </c>
      <c r="B85" s="95" t="s">
        <v>47</v>
      </c>
      <c r="C85" s="123" t="s">
        <v>76</v>
      </c>
      <c r="D85" s="96"/>
      <c r="E85" s="120">
        <v>3.5</v>
      </c>
      <c r="F85" s="120">
        <v>8</v>
      </c>
      <c r="G85" s="97">
        <v>7200</v>
      </c>
      <c r="H85" s="98">
        <v>4.17</v>
      </c>
      <c r="I85" s="98"/>
      <c r="J85" s="99">
        <f>(Table5[[#This Row],[RPM]]/5400-1)</f>
        <v>0.33333333333333326</v>
      </c>
      <c r="K85" s="100"/>
      <c r="L85" s="95">
        <v>2</v>
      </c>
      <c r="M85" s="101"/>
      <c r="N85" s="95"/>
      <c r="O85" s="101"/>
      <c r="P85" s="102"/>
      <c r="Q85" s="103"/>
      <c r="R85" s="98"/>
      <c r="S85" s="98"/>
      <c r="T85" s="104"/>
      <c r="U85" s="105">
        <v>254.99</v>
      </c>
      <c r="V85" s="106">
        <f>Table5[[#This Row],[Cost]]/Table5[[#This Row],[SizTB]]</f>
        <v>31.873750000000001</v>
      </c>
      <c r="W85" s="107">
        <f>Table5[[#This Row],[Cost]]+((CompareWarrYrs-Table5[[#This Row],[Warnty]])*(Incremental_Warr_Yr*Table5[[#This Row],[Cost]]))</f>
        <v>339.13670000000002</v>
      </c>
      <c r="X85" s="108">
        <f>Table5[[#This Row],[$+Warr]]/Table5[[#This Row],[SizTB]]</f>
        <v>42.392087500000002</v>
      </c>
      <c r="Y85" s="106">
        <f>Table5[[#This Row],[$PerTB]]/CompareWarrYrs</f>
        <v>8.4784175000000008</v>
      </c>
      <c r="Z85" s="109"/>
      <c r="AA85" s="110"/>
      <c r="AB85" s="113"/>
      <c r="AC85" s="112"/>
    </row>
    <row r="86" spans="1:29" ht="15.75" thickTop="1" x14ac:dyDescent="0.25">
      <c r="A86" s="1">
        <v>43018</v>
      </c>
      <c r="B86" t="s">
        <v>6</v>
      </c>
      <c r="C86" s="122" t="s">
        <v>98</v>
      </c>
      <c r="D86" s="37"/>
      <c r="E86" s="134">
        <v>3.5</v>
      </c>
      <c r="F86" s="119">
        <v>6</v>
      </c>
      <c r="G86" s="53">
        <v>5760</v>
      </c>
      <c r="H86" s="5"/>
      <c r="I86" s="5"/>
      <c r="J86" s="86">
        <f>(Table5[[#This Row],[RPM]]/5400-1)</f>
        <v>6.6666666666666652E-2</v>
      </c>
      <c r="K86" s="56">
        <v>150</v>
      </c>
      <c r="L86">
        <v>3</v>
      </c>
      <c r="M86" s="47">
        <v>300000</v>
      </c>
      <c r="O86" s="47">
        <v>500000</v>
      </c>
      <c r="P86" s="46">
        <f t="shared" ref="P86:P91" si="8">10^14</f>
        <v>100000000000000</v>
      </c>
      <c r="Q86" s="74"/>
      <c r="R86" s="5">
        <v>6.5</v>
      </c>
      <c r="S86" s="5">
        <v>4.8</v>
      </c>
      <c r="T86" s="75"/>
      <c r="U86" s="70">
        <v>189.99</v>
      </c>
      <c r="V86" s="10">
        <f>Table5[[#This Row],[Cost]]/Table5[[#This Row],[SizTB]]</f>
        <v>31.665000000000003</v>
      </c>
      <c r="W86" s="11">
        <f>Table5[[#This Row],[Cost]]+((CompareWarrYrs-Table5[[#This Row],[Warnty]])*(Incremental_Warr_Yr*Table5[[#This Row],[Cost]]))</f>
        <v>231.7878</v>
      </c>
      <c r="X86" s="6">
        <f>Table5[[#This Row],[$+Warr]]/Table5[[#This Row],[SizTB]]</f>
        <v>38.631300000000003</v>
      </c>
      <c r="Y86" s="10">
        <f>Table5[[#This Row],[$PerTB]]/CompareWarrYrs</f>
        <v>7.7262600000000008</v>
      </c>
      <c r="Z86" s="7"/>
      <c r="AA86" s="58">
        <f>(((Table5[[#This Row],[Watts Active]]*Power_On_Hours_Year/1000)*Active_Duty_Cycle)+((Table5[[#This Row],[Watts Idle]]*Power_On_Hours_Year/1000)*(100%-Active_Duty_Cycle)))*CostPerKWH</f>
        <v>5.6320008000000001</v>
      </c>
      <c r="AB86" s="59">
        <f>Table5[[#This Row],[Energy$year]]/Table5[[#This Row],[SizTB]]</f>
        <v>0.93866680000000002</v>
      </c>
      <c r="AC86" s="51"/>
    </row>
    <row r="87" spans="1:29" x14ac:dyDescent="0.25">
      <c r="A87" s="1">
        <v>43019</v>
      </c>
      <c r="B87" t="s">
        <v>6</v>
      </c>
      <c r="C87" s="122" t="s">
        <v>5</v>
      </c>
      <c r="D87" s="37"/>
      <c r="E87" s="134">
        <v>3.5</v>
      </c>
      <c r="F87" s="119">
        <v>1</v>
      </c>
      <c r="G87" s="53">
        <v>7200</v>
      </c>
      <c r="H87" s="5"/>
      <c r="I87" s="5"/>
      <c r="J87" s="86">
        <f>(Table5[[#This Row],[RPM]]/5400-1)</f>
        <v>0.33333333333333326</v>
      </c>
      <c r="K87" s="56">
        <v>150</v>
      </c>
      <c r="L87">
        <v>5</v>
      </c>
      <c r="M87" s="47">
        <v>300000</v>
      </c>
      <c r="O87" s="47"/>
      <c r="P87" s="46">
        <f t="shared" si="8"/>
        <v>100000000000000</v>
      </c>
      <c r="Q87" s="74"/>
      <c r="R87" s="5">
        <v>6.8</v>
      </c>
      <c r="S87" s="5">
        <v>6.1</v>
      </c>
      <c r="T87" s="75">
        <v>0.8</v>
      </c>
      <c r="U87" s="70">
        <v>67.989999999999995</v>
      </c>
      <c r="V87" s="10">
        <f>Table5[[#This Row],[Cost]]/Table5[[#This Row],[SizTB]]</f>
        <v>67.989999999999995</v>
      </c>
      <c r="W87" s="11">
        <f>Table5[[#This Row],[Cost]]+((CompareWarrYrs-Table5[[#This Row],[Warnty]])*(Incremental_Warr_Yr*Table5[[#This Row],[Cost]]))</f>
        <v>67.989999999999995</v>
      </c>
      <c r="X87" s="6">
        <f>Table5[[#This Row],[$+Warr]]/Table5[[#This Row],[SizTB]]</f>
        <v>67.989999999999995</v>
      </c>
      <c r="Y87" s="10">
        <f>Table5[[#This Row],[$PerTB]]/CompareWarrYrs</f>
        <v>13.597999999999999</v>
      </c>
      <c r="Z87" s="7"/>
      <c r="AA87" s="58">
        <f>(((Table5[[#This Row],[Watts Active]]*Power_On_Hours_Year/1000)*Active_Duty_Cycle)+((Table5[[#This Row],[Watts Idle]]*Power_On_Hours_Year/1000)*(100%-Active_Duty_Cycle)))*CostPerKWH</f>
        <v>6.8372928000000002</v>
      </c>
      <c r="AB87" s="59">
        <f>Table5[[#This Row],[Energy$year]]/Table5[[#This Row],[SizTB]]</f>
        <v>6.8372928000000002</v>
      </c>
      <c r="AC87" s="51"/>
    </row>
    <row r="88" spans="1:29" x14ac:dyDescent="0.25">
      <c r="A88" s="1">
        <v>43019</v>
      </c>
      <c r="B88" t="s">
        <v>6</v>
      </c>
      <c r="C88" s="122" t="s">
        <v>5</v>
      </c>
      <c r="D88" s="37"/>
      <c r="E88" s="134">
        <v>3.5</v>
      </c>
      <c r="F88" s="119">
        <v>2</v>
      </c>
      <c r="G88" s="53">
        <v>7200</v>
      </c>
      <c r="H88" s="5"/>
      <c r="I88" s="5"/>
      <c r="J88" s="86">
        <f>(Table5[[#This Row],[RPM]]/5400-1)</f>
        <v>0.33333333333333326</v>
      </c>
      <c r="K88" s="56">
        <v>164</v>
      </c>
      <c r="L88">
        <v>5</v>
      </c>
      <c r="M88" s="47">
        <v>300000</v>
      </c>
      <c r="O88" s="47"/>
      <c r="P88" s="46">
        <f t="shared" si="8"/>
        <v>100000000000000</v>
      </c>
      <c r="Q88" s="74"/>
      <c r="R88" s="5">
        <v>9.5</v>
      </c>
      <c r="S88" s="5">
        <v>8.1</v>
      </c>
      <c r="T88" s="75">
        <v>1.3</v>
      </c>
      <c r="U88" s="70">
        <v>119.99</v>
      </c>
      <c r="V88" s="10">
        <f>Table5[[#This Row],[Cost]]/Table5[[#This Row],[SizTB]]</f>
        <v>59.994999999999997</v>
      </c>
      <c r="W88" s="11">
        <f>Table5[[#This Row],[Cost]]+((CompareWarrYrs-Table5[[#This Row],[Warnty]])*(Incremental_Warr_Yr*Table5[[#This Row],[Cost]]))</f>
        <v>119.99</v>
      </c>
      <c r="X88" s="6">
        <f>Table5[[#This Row],[$+Warr]]/Table5[[#This Row],[SizTB]]</f>
        <v>59.994999999999997</v>
      </c>
      <c r="Y88" s="10">
        <f>Table5[[#This Row],[$PerTB]]/CompareWarrYrs</f>
        <v>11.998999999999999</v>
      </c>
      <c r="Z88" s="7"/>
      <c r="AA88" s="58">
        <f>(((Table5[[#This Row],[Watts Active]]*Power_On_Hours_Year/1000)*Active_Duty_Cycle)+((Table5[[#This Row],[Watts Idle]]*Power_On_Hours_Year/1000)*(100%-Active_Duty_Cycle)))*CostPerKWH</f>
        <v>9.1821336000000002</v>
      </c>
      <c r="AB88" s="59">
        <f>Table5[[#This Row],[Energy$year]]/Table5[[#This Row],[SizTB]]</f>
        <v>4.5910668000000001</v>
      </c>
      <c r="AC88" s="51"/>
    </row>
    <row r="89" spans="1:29" x14ac:dyDescent="0.25">
      <c r="A89" s="1">
        <v>43019</v>
      </c>
      <c r="B89" t="s">
        <v>6</v>
      </c>
      <c r="C89" s="122" t="s">
        <v>5</v>
      </c>
      <c r="D89" s="37"/>
      <c r="E89" s="134">
        <v>3.5</v>
      </c>
      <c r="F89" s="119">
        <v>4</v>
      </c>
      <c r="G89" s="53">
        <v>7200</v>
      </c>
      <c r="H89" s="5"/>
      <c r="I89" s="5"/>
      <c r="J89" s="86">
        <f>(Table5[[#This Row],[RPM]]/5400-1)</f>
        <v>0.33333333333333326</v>
      </c>
      <c r="K89" s="56">
        <v>202</v>
      </c>
      <c r="L89">
        <v>5</v>
      </c>
      <c r="M89" s="47">
        <v>300000</v>
      </c>
      <c r="O89" s="47"/>
      <c r="P89" s="46">
        <f t="shared" si="8"/>
        <v>100000000000000</v>
      </c>
      <c r="Q89" s="74"/>
      <c r="R89" s="5">
        <v>10.6</v>
      </c>
      <c r="S89" s="5">
        <v>7.6</v>
      </c>
      <c r="T89" s="75">
        <v>1.6</v>
      </c>
      <c r="U89" s="70">
        <v>184.99</v>
      </c>
      <c r="V89" s="10">
        <f>Table5[[#This Row],[Cost]]/Table5[[#This Row],[SizTB]]</f>
        <v>46.247500000000002</v>
      </c>
      <c r="W89" s="11">
        <f>Table5[[#This Row],[Cost]]+((CompareWarrYrs-Table5[[#This Row],[Warnty]])*(Incremental_Warr_Yr*Table5[[#This Row],[Cost]]))</f>
        <v>184.99</v>
      </c>
      <c r="X89" s="6">
        <f>Table5[[#This Row],[$+Warr]]/Table5[[#This Row],[SizTB]]</f>
        <v>46.247500000000002</v>
      </c>
      <c r="Y89" s="10">
        <f>Table5[[#This Row],[$PerTB]]/CompareWarrYrs</f>
        <v>9.2495000000000012</v>
      </c>
      <c r="Z89" s="7"/>
      <c r="AA89" s="58">
        <f>(((Table5[[#This Row],[Watts Active]]*Power_On_Hours_Year/1000)*Active_Duty_Cycle)+((Table5[[#This Row],[Watts Idle]]*Power_On_Hours_Year/1000)*(100%-Active_Duty_Cycle)))*CostPerKWH</f>
        <v>8.9849040000000002</v>
      </c>
      <c r="AB89" s="59">
        <f>Table5[[#This Row],[Energy$year]]/Table5[[#This Row],[SizTB]]</f>
        <v>2.2462260000000001</v>
      </c>
      <c r="AC89" s="51"/>
    </row>
    <row r="90" spans="1:29" x14ac:dyDescent="0.25">
      <c r="A90" s="1">
        <v>43000</v>
      </c>
      <c r="B90" t="s">
        <v>6</v>
      </c>
      <c r="C90" s="122" t="s">
        <v>5</v>
      </c>
      <c r="D90" s="37"/>
      <c r="E90" s="134">
        <v>3.5</v>
      </c>
      <c r="F90" s="119">
        <v>5</v>
      </c>
      <c r="G90" s="53">
        <v>7200</v>
      </c>
      <c r="H90" s="5"/>
      <c r="I90" s="5"/>
      <c r="J90" s="86">
        <f>(Table5[[#This Row],[RPM]]/5400-1)</f>
        <v>0.33333333333333326</v>
      </c>
      <c r="K90" s="56">
        <v>194</v>
      </c>
      <c r="L90">
        <v>5</v>
      </c>
      <c r="M90" s="47">
        <v>300000</v>
      </c>
      <c r="O90" s="47"/>
      <c r="P90" s="46">
        <f t="shared" si="8"/>
        <v>100000000000000</v>
      </c>
      <c r="Q90" s="74"/>
      <c r="R90" s="5">
        <v>10.6</v>
      </c>
      <c r="S90" s="5">
        <v>7.6</v>
      </c>
      <c r="T90" s="75">
        <v>1.6</v>
      </c>
      <c r="U90" s="70">
        <v>134.99</v>
      </c>
      <c r="V90" s="10">
        <f>Table5[[#This Row],[Cost]]/Table5[[#This Row],[SizTB]]</f>
        <v>26.998000000000001</v>
      </c>
      <c r="W90" s="11">
        <f>Table5[[#This Row],[Cost]]+((CompareWarrYrs-Table5[[#This Row],[Warnty]])*(Incremental_Warr_Yr*Table5[[#This Row],[Cost]]))</f>
        <v>134.99</v>
      </c>
      <c r="X90" s="6">
        <f>Table5[[#This Row],[$+Warr]]/Table5[[#This Row],[SizTB]]</f>
        <v>26.998000000000001</v>
      </c>
      <c r="Y90" s="10">
        <f>Table5[[#This Row],[$PerTB]]/CompareWarrYrs</f>
        <v>5.3996000000000004</v>
      </c>
      <c r="Z90" s="7"/>
      <c r="AA90" s="58">
        <f>(((Table5[[#This Row],[Watts Active]]*Power_On_Hours_Year/1000)*Active_Duty_Cycle)+((Table5[[#This Row],[Watts Idle]]*Power_On_Hours_Year/1000)*(100%-Active_Duty_Cycle)))*CostPerKWH</f>
        <v>8.9849040000000002</v>
      </c>
      <c r="AB90" s="59">
        <f>Table5[[#This Row],[Energy$year]]/Table5[[#This Row],[SizTB]]</f>
        <v>1.7969808</v>
      </c>
      <c r="AC90" s="51"/>
    </row>
    <row r="91" spans="1:29" x14ac:dyDescent="0.25">
      <c r="A91" s="1">
        <v>43019</v>
      </c>
      <c r="B91" t="s">
        <v>6</v>
      </c>
      <c r="C91" s="122" t="s">
        <v>5</v>
      </c>
      <c r="D91" s="37"/>
      <c r="E91" s="134">
        <v>3.5</v>
      </c>
      <c r="F91" s="119">
        <v>6</v>
      </c>
      <c r="G91" s="53">
        <v>7200</v>
      </c>
      <c r="H91" s="5"/>
      <c r="I91" s="5"/>
      <c r="J91" s="86">
        <f>(Table5[[#This Row],[RPM]]/5400-1)</f>
        <v>0.33333333333333326</v>
      </c>
      <c r="K91" s="56">
        <v>227</v>
      </c>
      <c r="L91">
        <v>5</v>
      </c>
      <c r="M91" s="47">
        <v>300000</v>
      </c>
      <c r="O91" s="47"/>
      <c r="P91" s="46">
        <f t="shared" si="8"/>
        <v>100000000000000</v>
      </c>
      <c r="Q91" s="74"/>
      <c r="R91" s="5">
        <v>10.6</v>
      </c>
      <c r="S91" s="5">
        <v>7.6</v>
      </c>
      <c r="T91" s="75">
        <v>1.6</v>
      </c>
      <c r="U91" s="70">
        <v>234.99</v>
      </c>
      <c r="V91" s="10">
        <f>Table5[[#This Row],[Cost]]/Table5[[#This Row],[SizTB]]</f>
        <v>39.164999999999999</v>
      </c>
      <c r="W91" s="11">
        <f>Table5[[#This Row],[Cost]]+((CompareWarrYrs-Table5[[#This Row],[Warnty]])*(Incremental_Warr_Yr*Table5[[#This Row],[Cost]]))</f>
        <v>234.99</v>
      </c>
      <c r="X91" s="6">
        <f>Table5[[#This Row],[$+Warr]]/Table5[[#This Row],[SizTB]]</f>
        <v>39.164999999999999</v>
      </c>
      <c r="Y91" s="10">
        <f>Table5[[#This Row],[$PerTB]]/CompareWarrYrs</f>
        <v>7.8330000000000002</v>
      </c>
      <c r="Z91" s="7"/>
      <c r="AA91" s="58">
        <f>(((Table5[[#This Row],[Watts Active]]*Power_On_Hours_Year/1000)*Active_Duty_Cycle)+((Table5[[#This Row],[Watts Idle]]*Power_On_Hours_Year/1000)*(100%-Active_Duty_Cycle)))*CostPerKWH</f>
        <v>8.9849040000000002</v>
      </c>
      <c r="AB91" s="59">
        <f>Table5[[#This Row],[Energy$year]]/Table5[[#This Row],[SizTB]]</f>
        <v>1.497484</v>
      </c>
      <c r="AC91" s="51"/>
    </row>
    <row r="92" spans="1:29" x14ac:dyDescent="0.25">
      <c r="A92" s="1">
        <v>43000</v>
      </c>
      <c r="B92" t="s">
        <v>6</v>
      </c>
      <c r="C92" s="122" t="s">
        <v>5</v>
      </c>
      <c r="D92" s="37"/>
      <c r="E92" s="134">
        <v>3.5</v>
      </c>
      <c r="F92" s="119">
        <v>8</v>
      </c>
      <c r="G92" s="53">
        <v>7200</v>
      </c>
      <c r="H92" s="5"/>
      <c r="I92" s="5"/>
      <c r="J92" s="86">
        <f>(Table5[[#This Row],[RPM]]/5400-1)</f>
        <v>0.33333333333333326</v>
      </c>
      <c r="K92" s="56"/>
      <c r="L92">
        <v>5</v>
      </c>
      <c r="M92" s="47">
        <v>300000</v>
      </c>
      <c r="O92" s="47"/>
      <c r="P92" s="46"/>
      <c r="Q92" s="74"/>
      <c r="R92" s="5">
        <v>10.6</v>
      </c>
      <c r="S92" s="5">
        <v>7.6</v>
      </c>
      <c r="T92" s="75">
        <v>1.6</v>
      </c>
      <c r="U92" s="70">
        <v>329.99</v>
      </c>
      <c r="V92" s="10">
        <f>Table5[[#This Row],[Cost]]/Table5[[#This Row],[SizTB]]</f>
        <v>41.248750000000001</v>
      </c>
      <c r="W92" s="11">
        <f>Table5[[#This Row],[Cost]]+((CompareWarrYrs-Table5[[#This Row],[Warnty]])*(Incremental_Warr_Yr*Table5[[#This Row],[Cost]]))</f>
        <v>329.99</v>
      </c>
      <c r="X92" s="6">
        <f>Table5[[#This Row],[$+Warr]]/Table5[[#This Row],[SizTB]]</f>
        <v>41.248750000000001</v>
      </c>
      <c r="Y92" s="10">
        <f>Table5[[#This Row],[$PerTB]]/CompareWarrYrs</f>
        <v>8.2497500000000006</v>
      </c>
      <c r="Z92" s="7"/>
      <c r="AA92" s="58">
        <f>(((Table5[[#This Row],[Watts Active]]*Power_On_Hours_Year/1000)*Active_Duty_Cycle)+((Table5[[#This Row],[Watts Idle]]*Power_On_Hours_Year/1000)*(100%-Active_Duty_Cycle)))*CostPerKWH</f>
        <v>8.9849040000000002</v>
      </c>
      <c r="AB92" s="59">
        <f>Table5[[#This Row],[Energy$year]]/Table5[[#This Row],[SizTB]]</f>
        <v>1.123113</v>
      </c>
      <c r="AC92" s="51"/>
    </row>
    <row r="93" spans="1:29" x14ac:dyDescent="0.25">
      <c r="A93" s="1">
        <v>43018</v>
      </c>
      <c r="B93" t="s">
        <v>6</v>
      </c>
      <c r="C93" s="122" t="s">
        <v>5</v>
      </c>
      <c r="D93" s="37"/>
      <c r="E93" s="134">
        <v>2.5</v>
      </c>
      <c r="F93" s="119">
        <v>1</v>
      </c>
      <c r="G93" s="53">
        <v>7200</v>
      </c>
      <c r="H93" s="5"/>
      <c r="I93" s="5"/>
      <c r="J93" s="86">
        <f>(Table5[[#This Row],[RPM]]/5400-1)</f>
        <v>0.33333333333333326</v>
      </c>
      <c r="K93" s="56"/>
      <c r="L93">
        <v>5</v>
      </c>
      <c r="M93" s="47">
        <v>600000</v>
      </c>
      <c r="O93" s="47"/>
      <c r="P93" s="46">
        <f t="shared" ref="P93:P101" si="9">10^14</f>
        <v>100000000000000</v>
      </c>
      <c r="Q93" s="74">
        <f>1.1*5</f>
        <v>5.5</v>
      </c>
      <c r="R93" s="5">
        <v>1.8</v>
      </c>
      <c r="S93" s="5">
        <v>0.8</v>
      </c>
      <c r="T93" s="75">
        <v>0.2</v>
      </c>
      <c r="U93" s="70">
        <v>69.989999999999995</v>
      </c>
      <c r="V93" s="10">
        <f>Table5[[#This Row],[Cost]]/Table5[[#This Row],[SizTB]]</f>
        <v>69.989999999999995</v>
      </c>
      <c r="W93" s="11">
        <f>Table5[[#This Row],[Cost]]+((CompareWarrYrs-Table5[[#This Row],[Warnty]])*(Incremental_Warr_Yr*Table5[[#This Row],[Cost]]))</f>
        <v>69.989999999999995</v>
      </c>
      <c r="X93" s="6">
        <f>Table5[[#This Row],[$+Warr]]/Table5[[#This Row],[SizTB]]</f>
        <v>69.989999999999995</v>
      </c>
      <c r="Y93" s="10">
        <f>Table5[[#This Row],[$PerTB]]/CompareWarrYrs</f>
        <v>13.997999999999999</v>
      </c>
      <c r="Z93" s="7"/>
      <c r="AA93" s="58">
        <f>(((Table5[[#This Row],[Watts Active]]*Power_On_Hours_Year/1000)*Active_Duty_Cycle)+((Table5[[#This Row],[Watts Idle]]*Power_On_Hours_Year/1000)*(100%-Active_Duty_Cycle)))*CostPerKWH</f>
        <v>1.09572</v>
      </c>
      <c r="AB93" s="59">
        <f>Table5[[#This Row],[Energy$year]]/Table5[[#This Row],[SizTB]]</f>
        <v>1.09572</v>
      </c>
      <c r="AC93" s="51"/>
    </row>
    <row r="94" spans="1:29" x14ac:dyDescent="0.25">
      <c r="A94" s="1">
        <v>43019</v>
      </c>
      <c r="B94" t="s">
        <v>6</v>
      </c>
      <c r="C94" s="122" t="s">
        <v>31</v>
      </c>
      <c r="D94" s="37"/>
      <c r="E94" s="134">
        <v>3.5</v>
      </c>
      <c r="F94" s="119">
        <v>1</v>
      </c>
      <c r="G94" s="53">
        <v>5400</v>
      </c>
      <c r="H94" s="5"/>
      <c r="I94" s="5"/>
      <c r="J94" s="86">
        <f>(Table5[[#This Row],[RPM]]/5400-1)</f>
        <v>0</v>
      </c>
      <c r="K94" s="56">
        <v>150</v>
      </c>
      <c r="L94">
        <v>2</v>
      </c>
      <c r="M94" s="47">
        <v>300000</v>
      </c>
      <c r="O94" s="47"/>
      <c r="P94" s="46">
        <f t="shared" si="9"/>
        <v>100000000000000</v>
      </c>
      <c r="Q94" s="74"/>
      <c r="R94" s="5"/>
      <c r="S94" s="5"/>
      <c r="T94" s="75"/>
      <c r="U94" s="70">
        <v>49.99</v>
      </c>
      <c r="V94" s="10">
        <f>Table5[[#This Row],[Cost]]/Table5[[#This Row],[SizTB]]</f>
        <v>49.99</v>
      </c>
      <c r="W94" s="11">
        <f>Table5[[#This Row],[Cost]]+((CompareWarrYrs-Table5[[#This Row],[Warnty]])*(Incremental_Warr_Yr*Table5[[#This Row],[Cost]]))</f>
        <v>66.486699999999999</v>
      </c>
      <c r="X94" s="6">
        <f>Table5[[#This Row],[$+Warr]]/Table5[[#This Row],[SizTB]]</f>
        <v>66.486699999999999</v>
      </c>
      <c r="Y94" s="10">
        <f>Table5[[#This Row],[$PerTB]]/CompareWarrYrs</f>
        <v>13.29734</v>
      </c>
      <c r="Z94" s="7"/>
      <c r="AA94" s="58"/>
      <c r="AB94" s="59"/>
      <c r="AC94" s="51"/>
    </row>
    <row r="95" spans="1:29" x14ac:dyDescent="0.25">
      <c r="A95" s="1">
        <v>43019</v>
      </c>
      <c r="B95" t="s">
        <v>6</v>
      </c>
      <c r="C95" s="122" t="s">
        <v>31</v>
      </c>
      <c r="D95" s="37"/>
      <c r="E95" s="134">
        <v>3.5</v>
      </c>
      <c r="F95" s="119">
        <v>2</v>
      </c>
      <c r="G95" s="53">
        <v>5400</v>
      </c>
      <c r="H95" s="5"/>
      <c r="I95" s="5"/>
      <c r="J95" s="86">
        <f>(Table5[[#This Row],[RPM]]/5400-1)</f>
        <v>0</v>
      </c>
      <c r="K95" s="56">
        <v>147</v>
      </c>
      <c r="L95">
        <v>2</v>
      </c>
      <c r="M95" s="47">
        <v>300000</v>
      </c>
      <c r="O95" s="47"/>
      <c r="P95" s="46">
        <f t="shared" si="9"/>
        <v>100000000000000</v>
      </c>
      <c r="Q95" s="74">
        <f>12*1.73</f>
        <v>20.759999999999998</v>
      </c>
      <c r="R95" s="5">
        <v>4.0999999999999996</v>
      </c>
      <c r="S95" s="5">
        <v>3</v>
      </c>
      <c r="T95" s="75">
        <v>0.4</v>
      </c>
      <c r="U95" s="70">
        <v>64.209999999999994</v>
      </c>
      <c r="V95" s="10">
        <f>Table5[[#This Row],[Cost]]/Table5[[#This Row],[SizTB]]</f>
        <v>32.104999999999997</v>
      </c>
      <c r="W95" s="11">
        <f>Table5[[#This Row],[Cost]]+((CompareWarrYrs-Table5[[#This Row],[Warnty]])*(Incremental_Warr_Yr*Table5[[#This Row],[Cost]]))</f>
        <v>85.399299999999997</v>
      </c>
      <c r="X95" s="6">
        <f>Table5[[#This Row],[$+Warr]]/Table5[[#This Row],[SizTB]]</f>
        <v>42.699649999999998</v>
      </c>
      <c r="Y95" s="10">
        <f>Table5[[#This Row],[$PerTB]]/CompareWarrYrs</f>
        <v>8.53993</v>
      </c>
      <c r="Z95" s="7"/>
      <c r="AA95" s="58">
        <f>(((Table5[[#This Row],[Watts Active]]*Power_On_Hours_Year/1000)*Active_Duty_Cycle)+((Table5[[#This Row],[Watts Idle]]*Power_On_Hours_Year/1000)*(100%-Active_Duty_Cycle)))*CostPerKWH</f>
        <v>3.5282184000000001</v>
      </c>
      <c r="AB95" s="59">
        <f>Table5[[#This Row],[Energy$year]]/Table5[[#This Row],[SizTB]]</f>
        <v>1.7641092</v>
      </c>
      <c r="AC95" s="51"/>
    </row>
    <row r="96" spans="1:29" x14ac:dyDescent="0.25">
      <c r="A96" s="1">
        <v>43019</v>
      </c>
      <c r="B96" t="s">
        <v>6</v>
      </c>
      <c r="C96" s="122" t="s">
        <v>31</v>
      </c>
      <c r="D96" s="37"/>
      <c r="E96" s="134">
        <v>3.5</v>
      </c>
      <c r="F96" s="119">
        <v>3</v>
      </c>
      <c r="G96" s="53">
        <v>5400</v>
      </c>
      <c r="H96" s="5"/>
      <c r="I96" s="5"/>
      <c r="J96" s="86">
        <f>(Table5[[#This Row],[RPM]]/5400-1)</f>
        <v>0</v>
      </c>
      <c r="K96" s="56">
        <v>147</v>
      </c>
      <c r="L96">
        <v>2</v>
      </c>
      <c r="M96" s="47">
        <v>300000</v>
      </c>
      <c r="O96" s="47"/>
      <c r="P96" s="46">
        <f t="shared" si="9"/>
        <v>100000000000000</v>
      </c>
      <c r="Q96" s="74">
        <f>12*1.73</f>
        <v>20.759999999999998</v>
      </c>
      <c r="R96" s="5">
        <v>4.0999999999999996</v>
      </c>
      <c r="S96" s="5">
        <v>3</v>
      </c>
      <c r="T96" s="75">
        <v>0.4</v>
      </c>
      <c r="U96" s="70">
        <v>84.99</v>
      </c>
      <c r="V96" s="10">
        <f>Table5[[#This Row],[Cost]]/Table5[[#This Row],[SizTB]]</f>
        <v>28.33</v>
      </c>
      <c r="W96" s="11">
        <f>Table5[[#This Row],[Cost]]+((CompareWarrYrs-Table5[[#This Row],[Warnty]])*(Incremental_Warr_Yr*Table5[[#This Row],[Cost]]))</f>
        <v>113.0367</v>
      </c>
      <c r="X96" s="6">
        <f>Table5[[#This Row],[$+Warr]]/Table5[[#This Row],[SizTB]]</f>
        <v>37.678899999999999</v>
      </c>
      <c r="Y96" s="10">
        <f>Table5[[#This Row],[$PerTB]]/CompareWarrYrs</f>
        <v>7.5357799999999999</v>
      </c>
      <c r="Z96" s="7"/>
      <c r="AA96" s="58">
        <f>(((Table5[[#This Row],[Watts Active]]*Power_On_Hours_Year/1000)*Active_Duty_Cycle)+((Table5[[#This Row],[Watts Idle]]*Power_On_Hours_Year/1000)*(100%-Active_Duty_Cycle)))*CostPerKWH</f>
        <v>3.5282184000000001</v>
      </c>
      <c r="AB96" s="59">
        <f>Table5[[#This Row],[Energy$year]]/Table5[[#This Row],[SizTB]]</f>
        <v>1.1760728</v>
      </c>
      <c r="AC96" s="51"/>
    </row>
    <row r="97" spans="1:29" x14ac:dyDescent="0.25">
      <c r="A97" s="1">
        <v>43019</v>
      </c>
      <c r="B97" t="s">
        <v>6</v>
      </c>
      <c r="C97" s="122" t="s">
        <v>31</v>
      </c>
      <c r="D97" s="37"/>
      <c r="E97" s="134">
        <v>3.5</v>
      </c>
      <c r="F97" s="119">
        <v>4</v>
      </c>
      <c r="G97" s="53">
        <v>5400</v>
      </c>
      <c r="H97" s="5"/>
      <c r="I97" s="5"/>
      <c r="J97" s="86">
        <f>(Table5[[#This Row],[RPM]]/5400-1)</f>
        <v>0</v>
      </c>
      <c r="K97" s="56">
        <v>150</v>
      </c>
      <c r="L97">
        <v>2</v>
      </c>
      <c r="M97" s="47">
        <v>300000</v>
      </c>
      <c r="O97" s="47"/>
      <c r="P97" s="46">
        <f t="shared" si="9"/>
        <v>100000000000000</v>
      </c>
      <c r="Q97" s="74">
        <f>12*1.75</f>
        <v>21</v>
      </c>
      <c r="R97" s="5">
        <v>5.3</v>
      </c>
      <c r="S97" s="5">
        <v>3.4</v>
      </c>
      <c r="T97" s="75">
        <v>0.4</v>
      </c>
      <c r="U97" s="70">
        <v>117.99</v>
      </c>
      <c r="V97" s="10">
        <f>Table5[[#This Row],[Cost]]/Table5[[#This Row],[SizTB]]</f>
        <v>29.497499999999999</v>
      </c>
      <c r="W97" s="11">
        <f>Table5[[#This Row],[Cost]]+((CompareWarrYrs-Table5[[#This Row],[Warnty]])*(Incremental_Warr_Yr*Table5[[#This Row],[Cost]]))</f>
        <v>156.92669999999998</v>
      </c>
      <c r="X97" s="6">
        <f>Table5[[#This Row],[$+Warr]]/Table5[[#This Row],[SizTB]]</f>
        <v>39.231674999999996</v>
      </c>
      <c r="Y97" s="10">
        <f>Table5[[#This Row],[$PerTB]]/CompareWarrYrs</f>
        <v>7.8463349999999989</v>
      </c>
      <c r="Z97" s="7"/>
      <c r="AA97" s="58">
        <f>(((Table5[[#This Row],[Watts Active]]*Power_On_Hours_Year/1000)*Active_Duty_Cycle)+((Table5[[#This Row],[Watts Idle]]*Power_On_Hours_Year/1000)*(100%-Active_Duty_Cycle)))*CostPerKWH</f>
        <v>4.1418216000000001</v>
      </c>
      <c r="AB97" s="59">
        <f>Table5[[#This Row],[Energy$year]]/Table5[[#This Row],[SizTB]]</f>
        <v>1.0354554</v>
      </c>
      <c r="AC97" s="51"/>
    </row>
    <row r="98" spans="1:29" x14ac:dyDescent="0.25">
      <c r="A98" s="1">
        <v>42960</v>
      </c>
      <c r="B98" t="s">
        <v>6</v>
      </c>
      <c r="C98" s="122" t="s">
        <v>31</v>
      </c>
      <c r="D98" s="37"/>
      <c r="E98" s="134">
        <v>3.5</v>
      </c>
      <c r="F98" s="119">
        <v>5</v>
      </c>
      <c r="G98" s="53">
        <v>5400</v>
      </c>
      <c r="H98" s="5"/>
      <c r="I98" s="5"/>
      <c r="J98" s="86">
        <f>(Table5[[#This Row],[RPM]]/5400-1)</f>
        <v>0</v>
      </c>
      <c r="K98" s="56">
        <v>170</v>
      </c>
      <c r="L98">
        <v>2</v>
      </c>
      <c r="M98" s="47">
        <v>300000</v>
      </c>
      <c r="O98" s="47"/>
      <c r="P98" s="46">
        <f t="shared" si="9"/>
        <v>100000000000000</v>
      </c>
      <c r="Q98" s="74">
        <f>12*1.75</f>
        <v>21</v>
      </c>
      <c r="R98" s="5">
        <v>5.3</v>
      </c>
      <c r="S98" s="5">
        <v>3.4</v>
      </c>
      <c r="T98" s="75">
        <v>0.4</v>
      </c>
      <c r="U98" s="70">
        <v>235.89</v>
      </c>
      <c r="V98" s="10">
        <f>Table5[[#This Row],[Cost]]/Table5[[#This Row],[SizTB]]</f>
        <v>47.177999999999997</v>
      </c>
      <c r="W98" s="11">
        <f>Table5[[#This Row],[Cost]]+((CompareWarrYrs-Table5[[#This Row],[Warnty]])*(Incremental_Warr_Yr*Table5[[#This Row],[Cost]]))</f>
        <v>313.7337</v>
      </c>
      <c r="X98" s="6">
        <f>Table5[[#This Row],[$+Warr]]/Table5[[#This Row],[SizTB]]</f>
        <v>62.746740000000003</v>
      </c>
      <c r="Y98" s="10">
        <f>Table5[[#This Row],[$PerTB]]/CompareWarrYrs</f>
        <v>12.549348</v>
      </c>
      <c r="Z98" s="7"/>
      <c r="AA98" s="58">
        <f>(((Table5[[#This Row],[Watts Active]]*Power_On_Hours_Year/1000)*Active_Duty_Cycle)+((Table5[[#This Row],[Watts Idle]]*Power_On_Hours_Year/1000)*(100%-Active_Duty_Cycle)))*CostPerKWH</f>
        <v>4.1418216000000001</v>
      </c>
      <c r="AB98" s="59">
        <f>Table5[[#This Row],[Energy$year]]/Table5[[#This Row],[SizTB]]</f>
        <v>0.82836432000000004</v>
      </c>
      <c r="AC98" s="51"/>
    </row>
    <row r="99" spans="1:29" x14ac:dyDescent="0.25">
      <c r="A99" s="1">
        <v>43019</v>
      </c>
      <c r="B99" t="s">
        <v>6</v>
      </c>
      <c r="C99" s="122" t="s">
        <v>31</v>
      </c>
      <c r="D99" s="37"/>
      <c r="E99" s="134">
        <v>3.5</v>
      </c>
      <c r="F99" s="119">
        <v>6</v>
      </c>
      <c r="G99" s="53">
        <v>5400</v>
      </c>
      <c r="H99" s="5"/>
      <c r="I99" s="5"/>
      <c r="J99" s="86">
        <f>(Table5[[#This Row],[RPM]]/5400-1)</f>
        <v>0</v>
      </c>
      <c r="K99" s="56">
        <v>175</v>
      </c>
      <c r="L99">
        <v>2</v>
      </c>
      <c r="M99" s="47">
        <v>300000</v>
      </c>
      <c r="O99" s="47"/>
      <c r="P99" s="46">
        <f t="shared" si="9"/>
        <v>100000000000000</v>
      </c>
      <c r="Q99" s="74">
        <f>12*1.75</f>
        <v>21</v>
      </c>
      <c r="R99" s="5">
        <v>5.3</v>
      </c>
      <c r="S99" s="5">
        <v>3.4</v>
      </c>
      <c r="T99" s="75">
        <v>0.4</v>
      </c>
      <c r="U99" s="70">
        <v>196.99</v>
      </c>
      <c r="V99" s="10">
        <f>Table5[[#This Row],[Cost]]/Table5[[#This Row],[SizTB]]</f>
        <v>32.831666666666671</v>
      </c>
      <c r="W99" s="11">
        <f>Table5[[#This Row],[Cost]]+((CompareWarrYrs-Table5[[#This Row],[Warnty]])*(Incremental_Warr_Yr*Table5[[#This Row],[Cost]]))</f>
        <v>261.99670000000003</v>
      </c>
      <c r="X99" s="6">
        <f>Table5[[#This Row],[$+Warr]]/Table5[[#This Row],[SizTB]]</f>
        <v>43.666116666666674</v>
      </c>
      <c r="Y99" s="10">
        <f>Table5[[#This Row],[$PerTB]]/CompareWarrYrs</f>
        <v>8.7332233333333349</v>
      </c>
      <c r="Z99" s="7"/>
      <c r="AA99" s="58">
        <f>(((Table5[[#This Row],[Watts Active]]*Power_On_Hours_Year/1000)*Active_Duty_Cycle)+((Table5[[#This Row],[Watts Idle]]*Power_On_Hours_Year/1000)*(100%-Active_Duty_Cycle)))*CostPerKWH</f>
        <v>4.1418216000000001</v>
      </c>
      <c r="AB99" s="59">
        <f>Table5[[#This Row],[Energy$year]]/Table5[[#This Row],[SizTB]]</f>
        <v>0.69030360000000002</v>
      </c>
      <c r="AC99" s="51"/>
    </row>
    <row r="100" spans="1:29" x14ac:dyDescent="0.25">
      <c r="A100" s="1">
        <v>42960</v>
      </c>
      <c r="B100" t="s">
        <v>6</v>
      </c>
      <c r="C100" s="122" t="s">
        <v>31</v>
      </c>
      <c r="D100" s="37"/>
      <c r="E100" s="134">
        <v>2.5</v>
      </c>
      <c r="F100" s="119">
        <v>1</v>
      </c>
      <c r="G100" s="53">
        <v>5400</v>
      </c>
      <c r="H100" s="5"/>
      <c r="I100" s="5"/>
      <c r="J100" s="86">
        <f>(Table5[[#This Row],[RPM]]/5400-1)</f>
        <v>0</v>
      </c>
      <c r="K100" s="56"/>
      <c r="L100">
        <v>2</v>
      </c>
      <c r="M100" s="47">
        <v>600000</v>
      </c>
      <c r="O100" s="47"/>
      <c r="P100" s="46">
        <f t="shared" si="9"/>
        <v>100000000000000</v>
      </c>
      <c r="Q100" s="74">
        <v>5</v>
      </c>
      <c r="R100" s="5">
        <v>1.5</v>
      </c>
      <c r="S100" s="5">
        <v>0.5</v>
      </c>
      <c r="T100" s="75">
        <v>0.1</v>
      </c>
      <c r="U100" s="70">
        <v>55.99</v>
      </c>
      <c r="V100" s="10">
        <f>Table5[[#This Row],[Cost]]/Table5[[#This Row],[SizTB]]</f>
        <v>55.99</v>
      </c>
      <c r="W100" s="11">
        <f>Table5[[#This Row],[Cost]]+((CompareWarrYrs-Table5[[#This Row],[Warnty]])*(Incremental_Warr_Yr*Table5[[#This Row],[Cost]]))</f>
        <v>74.466700000000003</v>
      </c>
      <c r="X100" s="6">
        <f>Table5[[#This Row],[$+Warr]]/Table5[[#This Row],[SizTB]]</f>
        <v>74.466700000000003</v>
      </c>
      <c r="Y100" s="10">
        <f>Table5[[#This Row],[$PerTB]]/CompareWarrYrs</f>
        <v>14.89334</v>
      </c>
      <c r="Z100" s="7"/>
      <c r="AA100" s="58">
        <f>(((Table5[[#This Row],[Watts Active]]*Power_On_Hours_Year/1000)*Active_Duty_Cycle)+((Table5[[#This Row],[Watts Idle]]*Power_On_Hours_Year/1000)*(100%-Active_Duty_Cycle)))*CostPerKWH</f>
        <v>0.76700400000000002</v>
      </c>
      <c r="AB100" s="59">
        <f>Table5[[#This Row],[Energy$year]]/Table5[[#This Row],[SizTB]]</f>
        <v>0.76700400000000002</v>
      </c>
      <c r="AC100" s="51"/>
    </row>
    <row r="101" spans="1:29" x14ac:dyDescent="0.25">
      <c r="A101" s="1">
        <v>42960</v>
      </c>
      <c r="B101" t="s">
        <v>6</v>
      </c>
      <c r="C101" s="122" t="s">
        <v>31</v>
      </c>
      <c r="D101" s="37"/>
      <c r="E101" s="134">
        <v>2.5</v>
      </c>
      <c r="F101" s="119">
        <v>2</v>
      </c>
      <c r="G101" s="53">
        <v>5400</v>
      </c>
      <c r="H101" s="5"/>
      <c r="I101" s="5"/>
      <c r="J101" s="86">
        <f>(Table5[[#This Row],[RPM]]/5400-1)</f>
        <v>0</v>
      </c>
      <c r="K101" s="56"/>
      <c r="L101">
        <v>2</v>
      </c>
      <c r="M101" s="47">
        <v>600000</v>
      </c>
      <c r="O101" s="47"/>
      <c r="P101" s="46">
        <f t="shared" si="9"/>
        <v>100000000000000</v>
      </c>
      <c r="Q101" s="74">
        <v>5</v>
      </c>
      <c r="R101" s="5">
        <v>1.7</v>
      </c>
      <c r="S101" s="5">
        <v>0.8</v>
      </c>
      <c r="T101" s="75">
        <v>0.2</v>
      </c>
      <c r="U101" s="70">
        <v>141.99</v>
      </c>
      <c r="V101" s="10">
        <f>Table5[[#This Row],[Cost]]/Table5[[#This Row],[SizTB]]</f>
        <v>70.995000000000005</v>
      </c>
      <c r="W101" s="11">
        <f>Table5[[#This Row],[Cost]]+((CompareWarrYrs-Table5[[#This Row],[Warnty]])*(Incremental_Warr_Yr*Table5[[#This Row],[Cost]]))</f>
        <v>188.8467</v>
      </c>
      <c r="X101" s="6">
        <f>Table5[[#This Row],[$+Warr]]/Table5[[#This Row],[SizTB]]</f>
        <v>94.423349999999999</v>
      </c>
      <c r="Y101" s="10">
        <f>Table5[[#This Row],[$PerTB]]/CompareWarrYrs</f>
        <v>18.88467</v>
      </c>
      <c r="Z101" s="7"/>
      <c r="AA101" s="58">
        <f>(((Table5[[#This Row],[Watts Active]]*Power_On_Hours_Year/1000)*Active_Duty_Cycle)+((Table5[[#This Row],[Watts Idle]]*Power_On_Hours_Year/1000)*(100%-Active_Duty_Cycle)))*CostPerKWH</f>
        <v>1.0738056</v>
      </c>
      <c r="AB101" s="59">
        <f>Table5[[#This Row],[Energy$year]]/Table5[[#This Row],[SizTB]]</f>
        <v>0.53690280000000001</v>
      </c>
      <c r="AC101" s="51"/>
    </row>
    <row r="102" spans="1:29" x14ac:dyDescent="0.25">
      <c r="A102" s="1">
        <v>43019</v>
      </c>
      <c r="B102" t="s">
        <v>6</v>
      </c>
      <c r="C102" s="122" t="s">
        <v>66</v>
      </c>
      <c r="D102" s="37" t="s">
        <v>57</v>
      </c>
      <c r="E102" s="134">
        <v>3.5</v>
      </c>
      <c r="F102" s="119">
        <v>1</v>
      </c>
      <c r="G102" s="53">
        <v>7200</v>
      </c>
      <c r="H102" s="5"/>
      <c r="I102" s="5"/>
      <c r="J102" s="86">
        <f>(Table5[[#This Row],[RPM]]/5400-1)</f>
        <v>0.33333333333333326</v>
      </c>
      <c r="K102" s="56">
        <v>184</v>
      </c>
      <c r="L102">
        <v>5</v>
      </c>
      <c r="M102" s="47">
        <v>600000</v>
      </c>
      <c r="N102">
        <v>550</v>
      </c>
      <c r="O102" s="47">
        <v>2000000</v>
      </c>
      <c r="P102" s="46">
        <v>1000000000000000</v>
      </c>
      <c r="Q102" s="74"/>
      <c r="R102" s="5">
        <v>8.1</v>
      </c>
      <c r="S102" s="5">
        <v>5.9</v>
      </c>
      <c r="T102" s="75"/>
      <c r="U102" s="70">
        <v>84.99</v>
      </c>
      <c r="V102" s="10">
        <f>Table5[[#This Row],[Cost]]/Table5[[#This Row],[SizTB]]</f>
        <v>84.99</v>
      </c>
      <c r="W102" s="11">
        <f>Table5[[#This Row],[Cost]]+((CompareWarrYrs-Table5[[#This Row],[Warnty]])*(Incremental_Warr_Yr*Table5[[#This Row],[Cost]]))</f>
        <v>84.99</v>
      </c>
      <c r="X102" s="6">
        <f>Table5[[#This Row],[$+Warr]]/Table5[[#This Row],[SizTB]]</f>
        <v>84.99</v>
      </c>
      <c r="Y102" s="10">
        <f>Table5[[#This Row],[$PerTB]]/CompareWarrYrs</f>
        <v>16.997999999999998</v>
      </c>
      <c r="Z102" s="7"/>
      <c r="AA102" s="58">
        <f>(((Table5[[#This Row],[Watts Active]]*Power_On_Hours_Year/1000)*Active_Duty_Cycle)+((Table5[[#This Row],[Watts Idle]]*Power_On_Hours_Year/1000)*(100%-Active_Duty_Cycle)))*CostPerKWH</f>
        <v>6.9468648000000002</v>
      </c>
      <c r="AB102" s="59">
        <f>Table5[[#This Row],[Energy$year]]/Table5[[#This Row],[SizTB]]</f>
        <v>6.9468648000000002</v>
      </c>
      <c r="AC102" s="51"/>
    </row>
    <row r="103" spans="1:29" x14ac:dyDescent="0.25">
      <c r="A103" s="1">
        <v>43019</v>
      </c>
      <c r="B103" t="s">
        <v>6</v>
      </c>
      <c r="C103" s="122" t="s">
        <v>66</v>
      </c>
      <c r="D103" s="37" t="s">
        <v>57</v>
      </c>
      <c r="E103" s="134">
        <v>3.5</v>
      </c>
      <c r="F103" s="119">
        <v>2</v>
      </c>
      <c r="G103" s="53">
        <v>7200</v>
      </c>
      <c r="H103" s="5"/>
      <c r="I103" s="5"/>
      <c r="J103" s="86">
        <f>(Table5[[#This Row],[RPM]]/5400-1)</f>
        <v>0.33333333333333326</v>
      </c>
      <c r="K103" s="56">
        <v>200</v>
      </c>
      <c r="L103">
        <v>5</v>
      </c>
      <c r="M103" s="47">
        <v>600000</v>
      </c>
      <c r="N103">
        <v>550</v>
      </c>
      <c r="O103" s="47">
        <v>2000000</v>
      </c>
      <c r="P103" s="46">
        <v>1000000000000000</v>
      </c>
      <c r="Q103" s="74"/>
      <c r="R103" s="5">
        <v>8.1</v>
      </c>
      <c r="S103" s="5">
        <v>5.9</v>
      </c>
      <c r="T103" s="75"/>
      <c r="U103" s="70">
        <v>123.99</v>
      </c>
      <c r="V103" s="10">
        <f>Table5[[#This Row],[Cost]]/Table5[[#This Row],[SizTB]]</f>
        <v>61.994999999999997</v>
      </c>
      <c r="W103" s="11">
        <f>Table5[[#This Row],[Cost]]+((CompareWarrYrs-Table5[[#This Row],[Warnty]])*(Incremental_Warr_Yr*Table5[[#This Row],[Cost]]))</f>
        <v>123.99</v>
      </c>
      <c r="X103" s="6">
        <f>Table5[[#This Row],[$+Warr]]/Table5[[#This Row],[SizTB]]</f>
        <v>61.994999999999997</v>
      </c>
      <c r="Y103" s="10">
        <f>Table5[[#This Row],[$PerTB]]/CompareWarrYrs</f>
        <v>12.398999999999999</v>
      </c>
      <c r="Z103" s="7"/>
      <c r="AA103" s="58">
        <f>(((Table5[[#This Row],[Watts Active]]*Power_On_Hours_Year/1000)*Active_Duty_Cycle)+((Table5[[#This Row],[Watts Idle]]*Power_On_Hours_Year/1000)*(100%-Active_Duty_Cycle)))*CostPerKWH</f>
        <v>6.9468648000000002</v>
      </c>
      <c r="AB103" s="59">
        <f>Table5[[#This Row],[Energy$year]]/Table5[[#This Row],[SizTB]]</f>
        <v>3.4734324000000001</v>
      </c>
      <c r="AC103" s="51"/>
    </row>
    <row r="104" spans="1:29" x14ac:dyDescent="0.25">
      <c r="A104" s="1">
        <v>43019</v>
      </c>
      <c r="B104" t="s">
        <v>6</v>
      </c>
      <c r="C104" s="122" t="s">
        <v>66</v>
      </c>
      <c r="D104" s="37" t="s">
        <v>57</v>
      </c>
      <c r="E104" s="134">
        <v>3.5</v>
      </c>
      <c r="F104" s="119">
        <v>4</v>
      </c>
      <c r="G104" s="53">
        <v>7200</v>
      </c>
      <c r="H104" s="5"/>
      <c r="I104" s="5"/>
      <c r="J104" s="86">
        <f>(Table5[[#This Row],[RPM]]/5400-1)</f>
        <v>0.33333333333333326</v>
      </c>
      <c r="K104" s="56">
        <v>201</v>
      </c>
      <c r="L104">
        <v>5</v>
      </c>
      <c r="M104" s="47">
        <v>600000</v>
      </c>
      <c r="N104">
        <v>550</v>
      </c>
      <c r="O104" s="47">
        <v>2000000</v>
      </c>
      <c r="P104" s="46">
        <v>1000000000000000</v>
      </c>
      <c r="Q104" s="74"/>
      <c r="R104" s="5">
        <v>9</v>
      </c>
      <c r="S104" s="5">
        <v>7</v>
      </c>
      <c r="T104" s="75"/>
      <c r="U104" s="70">
        <v>164</v>
      </c>
      <c r="V104" s="10">
        <f>Table5[[#This Row],[Cost]]/Table5[[#This Row],[SizTB]]</f>
        <v>41</v>
      </c>
      <c r="W104" s="11">
        <f>Table5[[#This Row],[Cost]]+((CompareWarrYrs-Table5[[#This Row],[Warnty]])*(Incremental_Warr_Yr*Table5[[#This Row],[Cost]]))</f>
        <v>164</v>
      </c>
      <c r="X104" s="6">
        <f>Table5[[#This Row],[$+Warr]]/Table5[[#This Row],[SizTB]]</f>
        <v>41</v>
      </c>
      <c r="Y104" s="10">
        <f>Table5[[#This Row],[$PerTB]]/CompareWarrYrs</f>
        <v>8.1999999999999993</v>
      </c>
      <c r="Z104" s="7"/>
      <c r="AA104" s="58">
        <f>(((Table5[[#This Row],[Watts Active]]*Power_On_Hours_Year/1000)*Active_Duty_Cycle)+((Table5[[#This Row],[Watts Idle]]*Power_On_Hours_Year/1000)*(100%-Active_Duty_Cycle)))*CostPerKWH</f>
        <v>8.1083280000000002</v>
      </c>
      <c r="AB104" s="59">
        <f>Table5[[#This Row],[Energy$year]]/Table5[[#This Row],[SizTB]]</f>
        <v>2.0270820000000001</v>
      </c>
      <c r="AC104" s="51"/>
    </row>
    <row r="105" spans="1:29" x14ac:dyDescent="0.25">
      <c r="A105" s="1">
        <v>43019</v>
      </c>
      <c r="B105" t="s">
        <v>6</v>
      </c>
      <c r="C105" s="122" t="s">
        <v>66</v>
      </c>
      <c r="D105" s="37" t="s">
        <v>57</v>
      </c>
      <c r="E105" s="134">
        <v>3.5</v>
      </c>
      <c r="F105" s="119">
        <v>6</v>
      </c>
      <c r="G105" s="53">
        <v>7200</v>
      </c>
      <c r="H105" s="5"/>
      <c r="I105" s="5"/>
      <c r="J105" s="86">
        <f>(Table5[[#This Row],[RPM]]/5400-1)</f>
        <v>0.33333333333333326</v>
      </c>
      <c r="K105" s="56">
        <v>226</v>
      </c>
      <c r="L105">
        <v>5</v>
      </c>
      <c r="M105" s="47">
        <v>600000</v>
      </c>
      <c r="N105">
        <v>550</v>
      </c>
      <c r="O105" s="47">
        <v>2000000</v>
      </c>
      <c r="P105" s="46">
        <v>1000000000000000</v>
      </c>
      <c r="Q105" s="74"/>
      <c r="R105" s="5">
        <v>9.3000000000000007</v>
      </c>
      <c r="S105" s="5">
        <v>7.1</v>
      </c>
      <c r="T105" s="75"/>
      <c r="U105" s="70">
        <v>234.99</v>
      </c>
      <c r="V105" s="10">
        <f>Table5[[#This Row],[Cost]]/Table5[[#This Row],[SizTB]]</f>
        <v>39.164999999999999</v>
      </c>
      <c r="W105" s="11">
        <f>Table5[[#This Row],[Cost]]+((CompareWarrYrs-Table5[[#This Row],[Warnty]])*(Incremental_Warr_Yr*Table5[[#This Row],[Cost]]))</f>
        <v>234.99</v>
      </c>
      <c r="X105" s="6">
        <f>Table5[[#This Row],[$+Warr]]/Table5[[#This Row],[SizTB]]</f>
        <v>39.164999999999999</v>
      </c>
      <c r="Y105" s="10">
        <f>Table5[[#This Row],[$PerTB]]/CompareWarrYrs</f>
        <v>7.8330000000000002</v>
      </c>
      <c r="Z105" s="7"/>
      <c r="AA105" s="58">
        <f>(((Table5[[#This Row],[Watts Active]]*Power_On_Hours_Year/1000)*Active_Duty_Cycle)+((Table5[[#This Row],[Watts Idle]]*Power_On_Hours_Year/1000)*(100%-Active_Duty_Cycle)))*CostPerKWH</f>
        <v>8.2617288000000002</v>
      </c>
      <c r="AB105" s="59">
        <f>Table5[[#This Row],[Energy$year]]/Table5[[#This Row],[SizTB]]</f>
        <v>1.3769548</v>
      </c>
      <c r="AC105" s="51" t="s">
        <v>81</v>
      </c>
    </row>
    <row r="106" spans="1:29" x14ac:dyDescent="0.25">
      <c r="A106" s="1">
        <v>43019</v>
      </c>
      <c r="B106" t="s">
        <v>6</v>
      </c>
      <c r="C106" s="122" t="s">
        <v>66</v>
      </c>
      <c r="D106" s="37" t="s">
        <v>57</v>
      </c>
      <c r="E106" s="134">
        <v>3.5</v>
      </c>
      <c r="F106" s="119">
        <v>8</v>
      </c>
      <c r="G106" s="53">
        <v>7200</v>
      </c>
      <c r="H106" s="5"/>
      <c r="I106" s="5"/>
      <c r="J106" s="86">
        <f>(Table5[[#This Row],[RPM]]/5400-1)</f>
        <v>0.33333333333333326</v>
      </c>
      <c r="K106" s="56">
        <v>205</v>
      </c>
      <c r="L106">
        <v>5</v>
      </c>
      <c r="M106" s="47">
        <v>600000</v>
      </c>
      <c r="N106">
        <v>550</v>
      </c>
      <c r="O106" s="47">
        <v>2500000</v>
      </c>
      <c r="P106" s="46">
        <v>1000000000000000</v>
      </c>
      <c r="Q106" s="74"/>
      <c r="R106" s="5">
        <v>7.2</v>
      </c>
      <c r="S106" s="5">
        <v>5.0999999999999996</v>
      </c>
      <c r="T106" s="75"/>
      <c r="U106" s="70">
        <v>339.99</v>
      </c>
      <c r="V106" s="10">
        <f>Table5[[#This Row],[Cost]]/Table5[[#This Row],[SizTB]]</f>
        <v>42.498750000000001</v>
      </c>
      <c r="W106" s="11">
        <f>Table5[[#This Row],[Cost]]+((CompareWarrYrs-Table5[[#This Row],[Warnty]])*(Incremental_Warr_Yr*Table5[[#This Row],[Cost]]))</f>
        <v>339.99</v>
      </c>
      <c r="X106" s="6">
        <f>Table5[[#This Row],[$+Warr]]/Table5[[#This Row],[SizTB]]</f>
        <v>42.498750000000001</v>
      </c>
      <c r="Y106" s="10">
        <f>Table5[[#This Row],[$PerTB]]/CompareWarrYrs</f>
        <v>8.4997500000000006</v>
      </c>
      <c r="Z106" s="7"/>
      <c r="AA106" s="58">
        <f>(((Table5[[#This Row],[Watts Active]]*Power_On_Hours_Year/1000)*Active_Duty_Cycle)+((Table5[[#This Row],[Watts Idle]]*Power_On_Hours_Year/1000)*(100%-Active_Duty_Cycle)))*CostPerKWH</f>
        <v>6.0483743999999993</v>
      </c>
      <c r="AB106" s="59">
        <f>Table5[[#This Row],[Energy$year]]/Table5[[#This Row],[SizTB]]</f>
        <v>0.75604679999999991</v>
      </c>
      <c r="AC106" s="51" t="s">
        <v>43</v>
      </c>
    </row>
    <row r="107" spans="1:29" x14ac:dyDescent="0.25">
      <c r="A107" s="1">
        <v>43019</v>
      </c>
      <c r="B107" t="s">
        <v>6</v>
      </c>
      <c r="C107" s="122" t="s">
        <v>66</v>
      </c>
      <c r="D107" s="37" t="s">
        <v>57</v>
      </c>
      <c r="E107" s="134">
        <v>3.5</v>
      </c>
      <c r="F107" s="119">
        <v>10</v>
      </c>
      <c r="G107" s="53">
        <v>7200</v>
      </c>
      <c r="H107" s="5"/>
      <c r="I107" s="5"/>
      <c r="J107" s="86">
        <f>(Table5[[#This Row],[RPM]]/5400-1)</f>
        <v>0.33333333333333326</v>
      </c>
      <c r="K107" s="56">
        <v>249</v>
      </c>
      <c r="L107">
        <v>5</v>
      </c>
      <c r="M107" s="47">
        <v>600000</v>
      </c>
      <c r="N107">
        <v>550</v>
      </c>
      <c r="O107" s="47">
        <v>2500000</v>
      </c>
      <c r="P107" s="46">
        <v>1000000000000000</v>
      </c>
      <c r="Q107" s="74"/>
      <c r="R107" s="5">
        <v>7.1</v>
      </c>
      <c r="S107" s="5">
        <v>5</v>
      </c>
      <c r="T107" s="75"/>
      <c r="U107" s="70">
        <v>414.99</v>
      </c>
      <c r="V107" s="10">
        <f>Table5[[#This Row],[Cost]]/Table5[[#This Row],[SizTB]]</f>
        <v>41.499000000000002</v>
      </c>
      <c r="W107" s="11">
        <f>Table5[[#This Row],[Cost]]+((CompareWarrYrs-Table5[[#This Row],[Warnty]])*(Incremental_Warr_Yr*Table5[[#This Row],[Cost]]))</f>
        <v>414.99</v>
      </c>
      <c r="X107" s="6">
        <f>Table5[[#This Row],[$+Warr]]/Table5[[#This Row],[SizTB]]</f>
        <v>41.499000000000002</v>
      </c>
      <c r="Y107" s="10">
        <f>Table5[[#This Row],[$PerTB]]/CompareWarrYrs</f>
        <v>8.2998000000000012</v>
      </c>
      <c r="Z107" s="7"/>
      <c r="AA107" s="58">
        <f>(((Table5[[#This Row],[Watts Active]]*Power_On_Hours_Year/1000)*Active_Duty_Cycle)+((Table5[[#This Row],[Watts Idle]]*Power_On_Hours_Year/1000)*(100%-Active_Duty_Cycle)))*CostPerKWH</f>
        <v>5.9388024000000001</v>
      </c>
      <c r="AB107" s="59">
        <f>Table5[[#This Row],[Energy$year]]/Table5[[#This Row],[SizTB]]</f>
        <v>0.59388024000000006</v>
      </c>
      <c r="AC107" s="51" t="s">
        <v>43</v>
      </c>
    </row>
    <row r="108" spans="1:29" x14ac:dyDescent="0.25">
      <c r="A108" s="1">
        <v>43019</v>
      </c>
      <c r="B108" t="s">
        <v>6</v>
      </c>
      <c r="C108" s="122" t="s">
        <v>66</v>
      </c>
      <c r="D108" s="37" t="s">
        <v>57</v>
      </c>
      <c r="E108" s="134">
        <v>3.5</v>
      </c>
      <c r="F108" s="119">
        <v>12</v>
      </c>
      <c r="G108" s="53">
        <v>7200</v>
      </c>
      <c r="H108" s="5"/>
      <c r="I108" s="5"/>
      <c r="J108" s="86">
        <f>(Table5[[#This Row],[RPM]]/5400-1)</f>
        <v>0.33333333333333326</v>
      </c>
      <c r="K108" s="56">
        <v>255</v>
      </c>
      <c r="L108">
        <v>5</v>
      </c>
      <c r="M108" s="47">
        <v>600000</v>
      </c>
      <c r="N108">
        <v>550</v>
      </c>
      <c r="O108" s="47">
        <v>2500000</v>
      </c>
      <c r="P108" s="46">
        <v>1000000000000000</v>
      </c>
      <c r="Q108" s="74"/>
      <c r="R108" s="5">
        <v>7</v>
      </c>
      <c r="S108" s="5">
        <v>5</v>
      </c>
      <c r="T108" s="75"/>
      <c r="U108" s="70">
        <v>539.99</v>
      </c>
      <c r="V108" s="10">
        <f>Table5[[#This Row],[Cost]]/Table5[[#This Row],[SizTB]]</f>
        <v>44.999166666666667</v>
      </c>
      <c r="W108" s="11">
        <f>Table5[[#This Row],[Cost]]+((CompareWarrYrs-Table5[[#This Row],[Warnty]])*(Incremental_Warr_Yr*Table5[[#This Row],[Cost]]))</f>
        <v>539.99</v>
      </c>
      <c r="X108" s="6">
        <f>Table5[[#This Row],[$+Warr]]/Table5[[#This Row],[SizTB]]</f>
        <v>44.999166666666667</v>
      </c>
      <c r="Y108" s="10">
        <f>Table5[[#This Row],[$PerTB]]/CompareWarrYrs</f>
        <v>8.9998333333333331</v>
      </c>
      <c r="Z108" s="7"/>
      <c r="AA108" s="58">
        <f>(((Table5[[#This Row],[Watts Active]]*Power_On_Hours_Year/1000)*Active_Duty_Cycle)+((Table5[[#This Row],[Watts Idle]]*Power_On_Hours_Year/1000)*(100%-Active_Duty_Cycle)))*CostPerKWH</f>
        <v>5.9168880000000001</v>
      </c>
      <c r="AB108" s="59">
        <f>Table5[[#This Row],[Energy$year]]/Table5[[#This Row],[SizTB]]</f>
        <v>0.49307400000000001</v>
      </c>
      <c r="AC108" s="51" t="s">
        <v>43</v>
      </c>
    </row>
    <row r="109" spans="1:29" x14ac:dyDescent="0.25">
      <c r="A109" s="1">
        <v>43019</v>
      </c>
      <c r="B109" t="s">
        <v>6</v>
      </c>
      <c r="C109" s="122" t="s">
        <v>64</v>
      </c>
      <c r="D109" s="37" t="s">
        <v>57</v>
      </c>
      <c r="E109" s="134">
        <v>3.5</v>
      </c>
      <c r="F109" s="119">
        <v>1</v>
      </c>
      <c r="G109" s="53">
        <v>5400</v>
      </c>
      <c r="H109" s="5"/>
      <c r="I109" s="5"/>
      <c r="J109" s="86">
        <f>(Table5[[#This Row],[RPM]]/5400-1)</f>
        <v>0</v>
      </c>
      <c r="K109" s="56">
        <v>150</v>
      </c>
      <c r="L109">
        <v>3</v>
      </c>
      <c r="M109" s="47">
        <v>600000</v>
      </c>
      <c r="N109">
        <v>180</v>
      </c>
      <c r="O109" s="47">
        <v>1000000</v>
      </c>
      <c r="P109" s="46">
        <f>10^14</f>
        <v>100000000000000</v>
      </c>
      <c r="Q109" s="74">
        <f>12*1.2</f>
        <v>14.399999999999999</v>
      </c>
      <c r="R109" s="5">
        <v>3.3</v>
      </c>
      <c r="S109" s="5">
        <v>2.2999999999999998</v>
      </c>
      <c r="T109" s="75">
        <v>0.4</v>
      </c>
      <c r="U109" s="70">
        <v>62.99</v>
      </c>
      <c r="V109" s="10">
        <f>Table5[[#This Row],[Cost]]/Table5[[#This Row],[SizTB]]</f>
        <v>62.99</v>
      </c>
      <c r="W109" s="11">
        <f>Table5[[#This Row],[Cost]]+((CompareWarrYrs-Table5[[#This Row],[Warnty]])*(Incremental_Warr_Yr*Table5[[#This Row],[Cost]]))</f>
        <v>76.847800000000007</v>
      </c>
      <c r="X109" s="6">
        <f>Table5[[#This Row],[$+Warr]]/Table5[[#This Row],[SizTB]]</f>
        <v>76.847800000000007</v>
      </c>
      <c r="Y109" s="10">
        <f>Table5[[#This Row],[$PerTB]]/CompareWarrYrs</f>
        <v>15.369560000000002</v>
      </c>
      <c r="Z109" s="7"/>
      <c r="AA109" s="58">
        <f>(((Table5[[#This Row],[Watts Active]]*Power_On_Hours_Year/1000)*Active_Duty_Cycle)+((Table5[[#This Row],[Watts Idle]]*Power_On_Hours_Year/1000)*(100%-Active_Duty_Cycle)))*CostPerKWH</f>
        <v>2.7393000000000001</v>
      </c>
      <c r="AB109" s="59">
        <f>Table5[[#This Row],[Energy$year]]/Table5[[#This Row],[SizTB]]</f>
        <v>2.7393000000000001</v>
      </c>
      <c r="AC109" s="51"/>
    </row>
    <row r="110" spans="1:29" x14ac:dyDescent="0.25">
      <c r="A110" s="1">
        <v>43019</v>
      </c>
      <c r="B110" t="s">
        <v>6</v>
      </c>
      <c r="C110" s="122" t="s">
        <v>64</v>
      </c>
      <c r="D110" s="37" t="s">
        <v>57</v>
      </c>
      <c r="E110" s="134">
        <v>3.5</v>
      </c>
      <c r="F110" s="119">
        <v>2</v>
      </c>
      <c r="G110" s="53">
        <v>5400</v>
      </c>
      <c r="H110" s="5"/>
      <c r="I110" s="5"/>
      <c r="J110" s="86">
        <f>(Table5[[#This Row],[RPM]]/5400-1)</f>
        <v>0</v>
      </c>
      <c r="K110" s="56">
        <v>147</v>
      </c>
      <c r="L110">
        <v>3</v>
      </c>
      <c r="M110" s="47">
        <v>600000</v>
      </c>
      <c r="N110">
        <v>180</v>
      </c>
      <c r="O110" s="47">
        <v>1000000</v>
      </c>
      <c r="P110" s="46">
        <f t="shared" ref="P110:P118" si="10">10^14</f>
        <v>100000000000000</v>
      </c>
      <c r="Q110" s="74">
        <f>12*1.73</f>
        <v>20.759999999999998</v>
      </c>
      <c r="R110" s="5">
        <v>4.0999999999999996</v>
      </c>
      <c r="S110" s="5">
        <v>2.7</v>
      </c>
      <c r="T110" s="75">
        <v>0.4</v>
      </c>
      <c r="U110" s="70">
        <v>84.99</v>
      </c>
      <c r="V110" s="10">
        <f>Table5[[#This Row],[Cost]]/Table5[[#This Row],[SizTB]]</f>
        <v>42.494999999999997</v>
      </c>
      <c r="W110" s="11">
        <f>Table5[[#This Row],[Cost]]+((CompareWarrYrs-Table5[[#This Row],[Warnty]])*(Incremental_Warr_Yr*Table5[[#This Row],[Cost]]))</f>
        <v>103.6878</v>
      </c>
      <c r="X110" s="6">
        <f>Table5[[#This Row],[$+Warr]]/Table5[[#This Row],[SizTB]]</f>
        <v>51.843899999999998</v>
      </c>
      <c r="Y110" s="10">
        <f>Table5[[#This Row],[$PerTB]]/CompareWarrYrs</f>
        <v>10.368779999999999</v>
      </c>
      <c r="Z110" s="7"/>
      <c r="AA110" s="58">
        <f>(((Table5[[#This Row],[Watts Active]]*Power_On_Hours_Year/1000)*Active_Duty_Cycle)+((Table5[[#This Row],[Watts Idle]]*Power_On_Hours_Year/1000)*(100%-Active_Duty_Cycle)))*CostPerKWH</f>
        <v>3.2652456000000005</v>
      </c>
      <c r="AB110" s="59">
        <f>Table5[[#This Row],[Energy$year]]/Table5[[#This Row],[SizTB]]</f>
        <v>1.6326228000000003</v>
      </c>
      <c r="AC110" s="51"/>
    </row>
    <row r="111" spans="1:29" x14ac:dyDescent="0.25">
      <c r="A111" s="1">
        <v>43019</v>
      </c>
      <c r="B111" t="s">
        <v>6</v>
      </c>
      <c r="C111" s="122" t="s">
        <v>64</v>
      </c>
      <c r="D111" s="37" t="s">
        <v>57</v>
      </c>
      <c r="E111" s="134">
        <v>3.5</v>
      </c>
      <c r="F111" s="119">
        <v>3</v>
      </c>
      <c r="G111" s="53">
        <v>5400</v>
      </c>
      <c r="H111" s="5"/>
      <c r="I111" s="5">
        <v>8.9</v>
      </c>
      <c r="J111" s="86">
        <f>(Table5[[#This Row],[RPM]]/5400-1)</f>
        <v>0</v>
      </c>
      <c r="K111" s="56">
        <v>147</v>
      </c>
      <c r="L111">
        <v>3</v>
      </c>
      <c r="M111" s="47">
        <v>600000</v>
      </c>
      <c r="N111">
        <v>180</v>
      </c>
      <c r="O111" s="47">
        <v>1000000</v>
      </c>
      <c r="P111" s="46">
        <f t="shared" si="10"/>
        <v>100000000000000</v>
      </c>
      <c r="Q111" s="74">
        <f>12*1.73</f>
        <v>20.759999999999998</v>
      </c>
      <c r="R111" s="5">
        <v>4.0999999999999996</v>
      </c>
      <c r="S111" s="5">
        <v>2.7</v>
      </c>
      <c r="T111" s="75">
        <v>0.4</v>
      </c>
      <c r="U111" s="70">
        <v>109.99</v>
      </c>
      <c r="V111" s="10">
        <f>Table5[[#This Row],[Cost]]/Table5[[#This Row],[SizTB]]</f>
        <v>36.663333333333334</v>
      </c>
      <c r="W111" s="11">
        <f>Table5[[#This Row],[Cost]]+((CompareWarrYrs-Table5[[#This Row],[Warnty]])*(Incremental_Warr_Yr*Table5[[#This Row],[Cost]]))</f>
        <v>134.18779999999998</v>
      </c>
      <c r="X111" s="6">
        <f>Table5[[#This Row],[$+Warr]]/Table5[[#This Row],[SizTB]]</f>
        <v>44.729266666666661</v>
      </c>
      <c r="Y111" s="10">
        <f>Table5[[#This Row],[$PerTB]]/CompareWarrYrs</f>
        <v>8.9458533333333321</v>
      </c>
      <c r="Z111" s="7"/>
      <c r="AA111" s="58">
        <f>(((Table5[[#This Row],[Watts Active]]*Power_On_Hours_Year/1000)*Active_Duty_Cycle)+((Table5[[#This Row],[Watts Idle]]*Power_On_Hours_Year/1000)*(100%-Active_Duty_Cycle)))*CostPerKWH</f>
        <v>3.2652456000000005</v>
      </c>
      <c r="AB111" s="59">
        <f>Table5[[#This Row],[Energy$year]]/Table5[[#This Row],[SizTB]]</f>
        <v>1.0884152000000002</v>
      </c>
      <c r="AC111" s="51"/>
    </row>
    <row r="112" spans="1:29" x14ac:dyDescent="0.25">
      <c r="A112" s="1">
        <v>43011</v>
      </c>
      <c r="B112" t="s">
        <v>6</v>
      </c>
      <c r="C112" s="122" t="s">
        <v>64</v>
      </c>
      <c r="D112" s="37" t="s">
        <v>57</v>
      </c>
      <c r="E112" s="134">
        <v>3.5</v>
      </c>
      <c r="F112" s="119">
        <v>4</v>
      </c>
      <c r="G112" s="53">
        <v>5400</v>
      </c>
      <c r="H112" s="5"/>
      <c r="I112" s="5"/>
      <c r="J112" s="86">
        <f>(Table5[[#This Row],[RPM]]/5400-1)</f>
        <v>0</v>
      </c>
      <c r="K112" s="56">
        <v>150</v>
      </c>
      <c r="L112">
        <v>3</v>
      </c>
      <c r="M112" s="47">
        <v>600000</v>
      </c>
      <c r="N112">
        <v>180</v>
      </c>
      <c r="O112" s="47">
        <v>1000000</v>
      </c>
      <c r="P112" s="46">
        <f t="shared" si="10"/>
        <v>100000000000000</v>
      </c>
      <c r="Q112" s="74">
        <f>12*1.75</f>
        <v>21</v>
      </c>
      <c r="R112" s="5">
        <v>4.5</v>
      </c>
      <c r="S112" s="5">
        <v>3.3</v>
      </c>
      <c r="T112" s="75">
        <v>0.4</v>
      </c>
      <c r="U112" s="70">
        <v>129.99</v>
      </c>
      <c r="V112" s="10">
        <f>Table5[[#This Row],[Cost]]/Table5[[#This Row],[SizTB]]</f>
        <v>32.497500000000002</v>
      </c>
      <c r="W112" s="11">
        <f>Table5[[#This Row],[Cost]]+((CompareWarrYrs-Table5[[#This Row],[Warnty]])*(Incremental_Warr_Yr*Table5[[#This Row],[Cost]]))</f>
        <v>158.58780000000002</v>
      </c>
      <c r="X112" s="6">
        <f>Table5[[#This Row],[$+Warr]]/Table5[[#This Row],[SizTB]]</f>
        <v>39.646950000000004</v>
      </c>
      <c r="Y112" s="10">
        <f>Table5[[#This Row],[$PerTB]]/CompareWarrYrs</f>
        <v>7.9293900000000006</v>
      </c>
      <c r="Z112" s="7"/>
      <c r="AA112" s="58">
        <f>(((Table5[[#This Row],[Watts Active]]*Power_On_Hours_Year/1000)*Active_Duty_Cycle)+((Table5[[#This Row],[Watts Idle]]*Power_On_Hours_Year/1000)*(100%-Active_Duty_Cycle)))*CostPerKWH</f>
        <v>3.8788488000000001</v>
      </c>
      <c r="AB112" s="59">
        <f>Table5[[#This Row],[Energy$year]]/Table5[[#This Row],[SizTB]]</f>
        <v>0.96971220000000002</v>
      </c>
      <c r="AC112" s="51"/>
    </row>
    <row r="113" spans="1:29" x14ac:dyDescent="0.25">
      <c r="A113" s="1">
        <v>43008</v>
      </c>
      <c r="B113" t="s">
        <v>6</v>
      </c>
      <c r="C113" s="122" t="s">
        <v>64</v>
      </c>
      <c r="D113" s="37" t="s">
        <v>57</v>
      </c>
      <c r="E113" s="134">
        <v>3.5</v>
      </c>
      <c r="F113" s="119">
        <v>5</v>
      </c>
      <c r="G113" s="53">
        <v>5400</v>
      </c>
      <c r="H113" s="5"/>
      <c r="I113" s="5"/>
      <c r="J113" s="86">
        <f>(Table5[[#This Row],[RPM]]/5400-1)</f>
        <v>0</v>
      </c>
      <c r="K113" s="56"/>
      <c r="L113">
        <v>3</v>
      </c>
      <c r="M113" s="47">
        <v>600000</v>
      </c>
      <c r="N113">
        <v>180</v>
      </c>
      <c r="O113" s="47">
        <v>1000000</v>
      </c>
      <c r="P113" s="46">
        <f t="shared" si="10"/>
        <v>100000000000000</v>
      </c>
      <c r="Q113" s="74">
        <f>12*1.75</f>
        <v>21</v>
      </c>
      <c r="R113" s="5">
        <v>5.3</v>
      </c>
      <c r="S113" s="5">
        <v>3.4</v>
      </c>
      <c r="T113" s="75">
        <v>0.4</v>
      </c>
      <c r="U113" s="70">
        <v>262</v>
      </c>
      <c r="V113" s="10">
        <f>Table5[[#This Row],[Cost]]/Table5[[#This Row],[SizTB]]</f>
        <v>52.4</v>
      </c>
      <c r="W113" s="11">
        <f>Table5[[#This Row],[Cost]]+((CompareWarrYrs-Table5[[#This Row],[Warnty]])*(Incremental_Warr_Yr*Table5[[#This Row],[Cost]]))</f>
        <v>319.64</v>
      </c>
      <c r="X113" s="6">
        <f>Table5[[#This Row],[$+Warr]]/Table5[[#This Row],[SizTB]]</f>
        <v>63.927999999999997</v>
      </c>
      <c r="Y113" s="10">
        <f>Table5[[#This Row],[$PerTB]]/CompareWarrYrs</f>
        <v>12.785599999999999</v>
      </c>
      <c r="Z113" s="7"/>
      <c r="AA113" s="58">
        <f>(((Table5[[#This Row],[Watts Active]]*Power_On_Hours_Year/1000)*Active_Duty_Cycle)+((Table5[[#This Row],[Watts Idle]]*Power_On_Hours_Year/1000)*(100%-Active_Duty_Cycle)))*CostPerKWH</f>
        <v>4.1418216000000001</v>
      </c>
      <c r="AB113" s="59">
        <f>Table5[[#This Row],[Energy$year]]/Table5[[#This Row],[SizTB]]</f>
        <v>0.82836432000000004</v>
      </c>
      <c r="AC113" s="51"/>
    </row>
    <row r="114" spans="1:29" x14ac:dyDescent="0.25">
      <c r="A114" s="1">
        <v>43019</v>
      </c>
      <c r="B114" t="s">
        <v>6</v>
      </c>
      <c r="C114" s="122" t="s">
        <v>64</v>
      </c>
      <c r="D114" s="37" t="s">
        <v>57</v>
      </c>
      <c r="E114" s="134">
        <v>3.5</v>
      </c>
      <c r="F114" s="119">
        <v>6</v>
      </c>
      <c r="G114" s="53">
        <v>5400</v>
      </c>
      <c r="H114" s="5"/>
      <c r="I114" s="5"/>
      <c r="J114" s="86">
        <f>(Table5[[#This Row],[RPM]]/5400-1)</f>
        <v>0</v>
      </c>
      <c r="K114" s="56">
        <v>175</v>
      </c>
      <c r="L114">
        <v>3</v>
      </c>
      <c r="M114" s="47">
        <v>600000</v>
      </c>
      <c r="N114">
        <v>180</v>
      </c>
      <c r="O114" s="47">
        <v>1000000</v>
      </c>
      <c r="P114" s="46">
        <f t="shared" si="10"/>
        <v>100000000000000</v>
      </c>
      <c r="Q114" s="74">
        <f>12*1.75</f>
        <v>21</v>
      </c>
      <c r="R114" s="5">
        <v>5.3</v>
      </c>
      <c r="S114" s="5">
        <v>3.4</v>
      </c>
      <c r="T114" s="75">
        <v>0.4</v>
      </c>
      <c r="U114" s="70">
        <v>217.99</v>
      </c>
      <c r="V114" s="10">
        <f>Table5[[#This Row],[Cost]]/Table5[[#This Row],[SizTB]]</f>
        <v>36.331666666666671</v>
      </c>
      <c r="W114" s="11">
        <f>Table5[[#This Row],[Cost]]+((CompareWarrYrs-Table5[[#This Row],[Warnty]])*(Incremental_Warr_Yr*Table5[[#This Row],[Cost]]))</f>
        <v>265.94780000000003</v>
      </c>
      <c r="X114" s="6">
        <f>Table5[[#This Row],[$+Warr]]/Table5[[#This Row],[SizTB]]</f>
        <v>44.324633333333338</v>
      </c>
      <c r="Y114" s="10">
        <f>Table5[[#This Row],[$PerTB]]/CompareWarrYrs</f>
        <v>8.8649266666666673</v>
      </c>
      <c r="Z114" s="7"/>
      <c r="AA114" s="58">
        <f>(((Table5[[#This Row],[Watts Active]]*Power_On_Hours_Year/1000)*Active_Duty_Cycle)+((Table5[[#This Row],[Watts Idle]]*Power_On_Hours_Year/1000)*(100%-Active_Duty_Cycle)))*CostPerKWH</f>
        <v>4.1418216000000001</v>
      </c>
      <c r="AB114" s="59">
        <f>Table5[[#This Row],[Energy$year]]/Table5[[#This Row],[SizTB]]</f>
        <v>0.69030360000000002</v>
      </c>
      <c r="AC114" s="51"/>
    </row>
    <row r="115" spans="1:29" x14ac:dyDescent="0.25">
      <c r="A115" s="1">
        <v>43008</v>
      </c>
      <c r="B115" t="s">
        <v>6</v>
      </c>
      <c r="C115" s="122" t="s">
        <v>64</v>
      </c>
      <c r="D115" s="37" t="s">
        <v>57</v>
      </c>
      <c r="E115" s="134">
        <v>3.5</v>
      </c>
      <c r="F115" s="119">
        <v>8</v>
      </c>
      <c r="G115" s="53">
        <v>5400</v>
      </c>
      <c r="H115" s="5"/>
      <c r="I115" s="5"/>
      <c r="J115" s="86">
        <f>(Table5[[#This Row],[RPM]]/5400-1)</f>
        <v>0</v>
      </c>
      <c r="K115" s="56">
        <v>178</v>
      </c>
      <c r="L115">
        <v>3</v>
      </c>
      <c r="M115" s="47">
        <v>600000</v>
      </c>
      <c r="N115">
        <v>180</v>
      </c>
      <c r="O115" s="47">
        <v>1000000</v>
      </c>
      <c r="P115" s="46">
        <f t="shared" si="10"/>
        <v>100000000000000</v>
      </c>
      <c r="Q115" s="74">
        <f>12*1.79</f>
        <v>21.48</v>
      </c>
      <c r="R115" s="5">
        <v>6.4</v>
      </c>
      <c r="S115" s="5">
        <v>5.2</v>
      </c>
      <c r="T115" s="75">
        <v>0.7</v>
      </c>
      <c r="U115" s="70">
        <v>259.99</v>
      </c>
      <c r="V115" s="10">
        <f>Table5[[#This Row],[Cost]]/Table5[[#This Row],[SizTB]]</f>
        <v>32.498750000000001</v>
      </c>
      <c r="W115" s="11">
        <f>Table5[[#This Row],[Cost]]+((CompareWarrYrs-Table5[[#This Row],[Warnty]])*(Incremental_Warr_Yr*Table5[[#This Row],[Cost]]))</f>
        <v>317.18780000000004</v>
      </c>
      <c r="X115" s="6">
        <f>Table5[[#This Row],[$+Warr]]/Table5[[#This Row],[SizTB]]</f>
        <v>39.648475000000005</v>
      </c>
      <c r="Y115" s="10">
        <f>Table5[[#This Row],[$PerTB]]/CompareWarrYrs</f>
        <v>7.9296950000000006</v>
      </c>
      <c r="Z115" s="7"/>
      <c r="AA115" s="58">
        <f>(((Table5[[#This Row],[Watts Active]]*Power_On_Hours_Year/1000)*Active_Duty_Cycle)+((Table5[[#This Row],[Watts Idle]]*Power_On_Hours_Year/1000)*(100%-Active_Duty_Cycle)))*CostPerKWH</f>
        <v>5.960716800000001</v>
      </c>
      <c r="AB115" s="59">
        <f>Table5[[#This Row],[Energy$year]]/Table5[[#This Row],[SizTB]]</f>
        <v>0.74508960000000013</v>
      </c>
      <c r="AC115" s="51" t="s">
        <v>43</v>
      </c>
    </row>
    <row r="116" spans="1:29" x14ac:dyDescent="0.25">
      <c r="A116" s="1">
        <v>43019</v>
      </c>
      <c r="B116" t="s">
        <v>6</v>
      </c>
      <c r="C116" s="122" t="s">
        <v>64</v>
      </c>
      <c r="D116" s="37" t="s">
        <v>57</v>
      </c>
      <c r="E116" s="134">
        <v>3.5</v>
      </c>
      <c r="F116" s="119">
        <v>10</v>
      </c>
      <c r="G116" s="53">
        <v>5400</v>
      </c>
      <c r="H116" s="5"/>
      <c r="I116" s="5"/>
      <c r="J116" s="86">
        <f>(Table5[[#This Row],[RPM]]/5400-1)</f>
        <v>0</v>
      </c>
      <c r="K116" s="56">
        <v>210</v>
      </c>
      <c r="L116">
        <v>3</v>
      </c>
      <c r="M116" s="47">
        <v>600000</v>
      </c>
      <c r="N116">
        <v>180</v>
      </c>
      <c r="O116" s="47">
        <v>1000000</v>
      </c>
      <c r="P116" s="46">
        <f t="shared" si="10"/>
        <v>100000000000000</v>
      </c>
      <c r="Q116" s="74">
        <f>12*1.79</f>
        <v>21.48</v>
      </c>
      <c r="R116" s="5">
        <v>5.7</v>
      </c>
      <c r="S116" s="5">
        <v>2.8</v>
      </c>
      <c r="T116" s="75">
        <v>0.5</v>
      </c>
      <c r="U116" s="70">
        <v>379.99</v>
      </c>
      <c r="V116" s="10">
        <f>Table5[[#This Row],[Cost]]/Table5[[#This Row],[SizTB]]</f>
        <v>37.999000000000002</v>
      </c>
      <c r="W116" s="11">
        <f>Table5[[#This Row],[Cost]]+((CompareWarrYrs-Table5[[#This Row],[Warnty]])*(Incremental_Warr_Yr*Table5[[#This Row],[Cost]]))</f>
        <v>463.58780000000002</v>
      </c>
      <c r="X116" s="6">
        <f>Table5[[#This Row],[$+Warr]]/Table5[[#This Row],[SizTB]]</f>
        <v>46.358780000000003</v>
      </c>
      <c r="Y116" s="10">
        <f>Table5[[#This Row],[$PerTB]]/CompareWarrYrs</f>
        <v>9.2717559999999999</v>
      </c>
      <c r="Z116" s="7"/>
      <c r="AA116" s="58">
        <f>(((Table5[[#This Row],[Watts Active]]*Power_On_Hours_Year/1000)*Active_Duty_Cycle)+((Table5[[#This Row],[Watts Idle]]*Power_On_Hours_Year/1000)*(100%-Active_Duty_Cycle)))*CostPerKWH</f>
        <v>3.7035336000000001</v>
      </c>
      <c r="AB116" s="59">
        <f>Table5[[#This Row],[Energy$year]]/Table5[[#This Row],[SizTB]]</f>
        <v>0.37035336000000002</v>
      </c>
      <c r="AC116" s="51" t="s">
        <v>43</v>
      </c>
    </row>
    <row r="117" spans="1:29" x14ac:dyDescent="0.25">
      <c r="A117" s="1">
        <v>42961</v>
      </c>
      <c r="B117" t="s">
        <v>6</v>
      </c>
      <c r="C117" s="122" t="s">
        <v>64</v>
      </c>
      <c r="D117" s="37" t="s">
        <v>57</v>
      </c>
      <c r="E117" s="134">
        <v>2.5</v>
      </c>
      <c r="F117" s="119">
        <v>0.75</v>
      </c>
      <c r="G117" s="53">
        <v>5400</v>
      </c>
      <c r="H117" s="5"/>
      <c r="I117" s="5"/>
      <c r="J117" s="86">
        <f>(Table5[[#This Row],[RPM]]/5400-1)</f>
        <v>0</v>
      </c>
      <c r="K117" s="56">
        <v>144</v>
      </c>
      <c r="L117">
        <v>3</v>
      </c>
      <c r="M117" s="47">
        <v>600000</v>
      </c>
      <c r="N117">
        <v>180</v>
      </c>
      <c r="O117" s="47">
        <v>1000000</v>
      </c>
      <c r="P117" s="46">
        <f t="shared" si="10"/>
        <v>100000000000000</v>
      </c>
      <c r="Q117" s="74">
        <v>5</v>
      </c>
      <c r="R117" s="5">
        <v>1.4</v>
      </c>
      <c r="S117" s="5">
        <v>0.6</v>
      </c>
      <c r="T117" s="75">
        <v>0.2</v>
      </c>
      <c r="U117" s="70">
        <v>54.99</v>
      </c>
      <c r="V117" s="10">
        <f>Table5[[#This Row],[Cost]]/Table5[[#This Row],[SizTB]]</f>
        <v>73.320000000000007</v>
      </c>
      <c r="W117" s="11">
        <f>Table5[[#This Row],[Cost]]+((CompareWarrYrs-Table5[[#This Row],[Warnty]])*(Incremental_Warr_Yr*Table5[[#This Row],[Cost]]))</f>
        <v>67.087800000000001</v>
      </c>
      <c r="X117" s="6">
        <f>Table5[[#This Row],[$+Warr]]/Table5[[#This Row],[SizTB]]</f>
        <v>89.450400000000002</v>
      </c>
      <c r="Y117" s="10">
        <f>Table5[[#This Row],[$PerTB]]/CompareWarrYrs</f>
        <v>17.890080000000001</v>
      </c>
      <c r="Z117" s="7"/>
      <c r="AA117" s="58">
        <f>(((Table5[[#This Row],[Watts Active]]*Power_On_Hours_Year/1000)*Active_Duty_Cycle)+((Table5[[#This Row],[Watts Idle]]*Power_On_Hours_Year/1000)*(100%-Active_Duty_Cycle)))*CostPerKWH</f>
        <v>0.83274720000000002</v>
      </c>
      <c r="AB117" s="59">
        <f>Table5[[#This Row],[Energy$year]]/Table5[[#This Row],[SizTB]]</f>
        <v>1.1103296</v>
      </c>
      <c r="AC117" s="51"/>
    </row>
    <row r="118" spans="1:29" x14ac:dyDescent="0.25">
      <c r="A118" s="1">
        <v>42961</v>
      </c>
      <c r="B118" t="s">
        <v>6</v>
      </c>
      <c r="C118" s="122" t="s">
        <v>64</v>
      </c>
      <c r="D118" s="37" t="s">
        <v>57</v>
      </c>
      <c r="E118" s="134">
        <v>2.5</v>
      </c>
      <c r="F118" s="119">
        <v>1</v>
      </c>
      <c r="G118" s="53">
        <v>5400</v>
      </c>
      <c r="H118" s="5"/>
      <c r="I118" s="5"/>
      <c r="J118" s="86">
        <f>(Table5[[#This Row],[RPM]]/5400-1)</f>
        <v>0</v>
      </c>
      <c r="K118" s="56">
        <v>144</v>
      </c>
      <c r="L118">
        <v>3</v>
      </c>
      <c r="M118" s="47">
        <v>600000</v>
      </c>
      <c r="N118">
        <v>180</v>
      </c>
      <c r="O118" s="47">
        <v>1000000</v>
      </c>
      <c r="P118" s="46">
        <f t="shared" si="10"/>
        <v>100000000000000</v>
      </c>
      <c r="Q118" s="74">
        <v>5</v>
      </c>
      <c r="R118" s="5">
        <v>1.4</v>
      </c>
      <c r="S118" s="5">
        <v>0.6</v>
      </c>
      <c r="T118" s="75">
        <v>0.2</v>
      </c>
      <c r="U118" s="70">
        <v>72.989999999999995</v>
      </c>
      <c r="V118" s="10">
        <f>Table5[[#This Row],[Cost]]/Table5[[#This Row],[SizTB]]</f>
        <v>72.989999999999995</v>
      </c>
      <c r="W118" s="11">
        <f>Table5[[#This Row],[Cost]]+((CompareWarrYrs-Table5[[#This Row],[Warnty]])*(Incremental_Warr_Yr*Table5[[#This Row],[Cost]]))</f>
        <v>89.047799999999995</v>
      </c>
      <c r="X118" s="6">
        <f>Table5[[#This Row],[$+Warr]]/Table5[[#This Row],[SizTB]]</f>
        <v>89.047799999999995</v>
      </c>
      <c r="Y118" s="10">
        <f>Table5[[#This Row],[$PerTB]]/CompareWarrYrs</f>
        <v>17.809559999999998</v>
      </c>
      <c r="Z118" s="7"/>
      <c r="AA118" s="58">
        <f>(((Table5[[#This Row],[Watts Active]]*Power_On_Hours_Year/1000)*Active_Duty_Cycle)+((Table5[[#This Row],[Watts Idle]]*Power_On_Hours_Year/1000)*(100%-Active_Duty_Cycle)))*CostPerKWH</f>
        <v>0.83274720000000002</v>
      </c>
      <c r="AB118" s="59">
        <f>Table5[[#This Row],[Energy$year]]/Table5[[#This Row],[SizTB]]</f>
        <v>0.83274720000000002</v>
      </c>
      <c r="AC118" s="51"/>
    </row>
    <row r="119" spans="1:29" x14ac:dyDescent="0.25">
      <c r="A119" s="1">
        <v>43019</v>
      </c>
      <c r="B119" t="s">
        <v>6</v>
      </c>
      <c r="C119" s="122" t="s">
        <v>12</v>
      </c>
      <c r="D119" s="37" t="s">
        <v>57</v>
      </c>
      <c r="E119" s="134">
        <v>3.5</v>
      </c>
      <c r="F119" s="119">
        <v>2</v>
      </c>
      <c r="G119" s="53">
        <v>7200</v>
      </c>
      <c r="H119" s="5"/>
      <c r="I119" s="5"/>
      <c r="J119" s="86">
        <f>(Table5[[#This Row],[RPM]]/5400-1)</f>
        <v>0.33333333333333326</v>
      </c>
      <c r="K119" s="56">
        <v>164</v>
      </c>
      <c r="L119">
        <v>5</v>
      </c>
      <c r="M119" s="47">
        <v>600000</v>
      </c>
      <c r="N119">
        <v>300</v>
      </c>
      <c r="O119" s="47">
        <v>1000000</v>
      </c>
      <c r="P119" s="46">
        <v>1000000000000000</v>
      </c>
      <c r="Q119" s="74">
        <f>12*1.9</f>
        <v>22.799999999999997</v>
      </c>
      <c r="R119" s="5">
        <v>7.8</v>
      </c>
      <c r="S119" s="5">
        <v>6</v>
      </c>
      <c r="T119" s="75">
        <v>1.4</v>
      </c>
      <c r="U119" s="70">
        <v>120.99</v>
      </c>
      <c r="V119" s="10">
        <f>Table5[[#This Row],[Cost]]/Table5[[#This Row],[SizTB]]</f>
        <v>60.494999999999997</v>
      </c>
      <c r="W119" s="11">
        <f>Table5[[#This Row],[Cost]]+((CompareWarrYrs-Table5[[#This Row],[Warnty]])*(Incremental_Warr_Yr*Table5[[#This Row],[Cost]]))</f>
        <v>120.99</v>
      </c>
      <c r="X119" s="6">
        <f>Table5[[#This Row],[$+Warr]]/Table5[[#This Row],[SizTB]]</f>
        <v>60.494999999999997</v>
      </c>
      <c r="Y119" s="10">
        <f>Table5[[#This Row],[$PerTB]]/CompareWarrYrs</f>
        <v>12.099</v>
      </c>
      <c r="Z119" s="7"/>
      <c r="AA119" s="58">
        <f>(((Table5[[#This Row],[Watts Active]]*Power_On_Hours_Year/1000)*Active_Duty_Cycle)+((Table5[[#This Row],[Watts Idle]]*Power_On_Hours_Year/1000)*(100%-Active_Duty_Cycle)))*CostPerKWH</f>
        <v>6.9687792000000002</v>
      </c>
      <c r="AB119" s="59">
        <f>Table5[[#This Row],[Energy$year]]/Table5[[#This Row],[SizTB]]</f>
        <v>3.4843896000000001</v>
      </c>
      <c r="AC119" s="51"/>
    </row>
    <row r="120" spans="1:29" x14ac:dyDescent="0.25">
      <c r="A120" s="1">
        <v>43001</v>
      </c>
      <c r="B120" t="s">
        <v>6</v>
      </c>
      <c r="C120" s="122" t="s">
        <v>12</v>
      </c>
      <c r="D120" s="37" t="s">
        <v>57</v>
      </c>
      <c r="E120" s="134">
        <v>3.5</v>
      </c>
      <c r="F120" s="119">
        <v>3</v>
      </c>
      <c r="G120" s="53">
        <v>7200</v>
      </c>
      <c r="H120" s="5"/>
      <c r="I120" s="5"/>
      <c r="J120" s="86">
        <f>(Table5[[#This Row],[RPM]]/5400-1)</f>
        <v>0.33333333333333326</v>
      </c>
      <c r="K120" s="56"/>
      <c r="L120">
        <v>5</v>
      </c>
      <c r="M120" s="47">
        <v>600000</v>
      </c>
      <c r="N120">
        <v>300</v>
      </c>
      <c r="O120" s="47">
        <v>1000000</v>
      </c>
      <c r="P120" s="46">
        <v>1000000000000000</v>
      </c>
      <c r="Q120" s="74">
        <f>12*1.9</f>
        <v>22.799999999999997</v>
      </c>
      <c r="R120" s="5">
        <v>8.6</v>
      </c>
      <c r="S120" s="5">
        <v>6.5</v>
      </c>
      <c r="T120" s="75">
        <v>0.6</v>
      </c>
      <c r="U120" s="70">
        <v>209.99</v>
      </c>
      <c r="V120" s="10">
        <f>Table5[[#This Row],[Cost]]/Table5[[#This Row],[SizTB]]</f>
        <v>69.99666666666667</v>
      </c>
      <c r="W120" s="11">
        <f>Table5[[#This Row],[Cost]]+((CompareWarrYrs-Table5[[#This Row],[Warnty]])*(Incremental_Warr_Yr*Table5[[#This Row],[Cost]]))</f>
        <v>209.99</v>
      </c>
      <c r="X120" s="6">
        <f>Table5[[#This Row],[$+Warr]]/Table5[[#This Row],[SizTB]]</f>
        <v>69.99666666666667</v>
      </c>
      <c r="Y120" s="10">
        <f>Table5[[#This Row],[$PerTB]]/CompareWarrYrs</f>
        <v>13.999333333333334</v>
      </c>
      <c r="Z120" s="7"/>
      <c r="AA120" s="58">
        <f>(((Table5[[#This Row],[Watts Active]]*Power_On_Hours_Year/1000)*Active_Duty_Cycle)+((Table5[[#This Row],[Watts Idle]]*Power_On_Hours_Year/1000)*(100%-Active_Duty_Cycle)))*CostPerKWH</f>
        <v>7.5823824000000002</v>
      </c>
      <c r="AB120" s="59">
        <f>Table5[[#This Row],[Energy$year]]/Table5[[#This Row],[SizTB]]</f>
        <v>2.5274608000000001</v>
      </c>
      <c r="AC120" s="51"/>
    </row>
    <row r="121" spans="1:29" x14ac:dyDescent="0.25">
      <c r="A121" s="1">
        <v>43019</v>
      </c>
      <c r="B121" t="s">
        <v>6</v>
      </c>
      <c r="C121" s="122" t="s">
        <v>12</v>
      </c>
      <c r="D121" s="37" t="s">
        <v>57</v>
      </c>
      <c r="E121" s="134">
        <v>3.5</v>
      </c>
      <c r="F121" s="119">
        <v>4</v>
      </c>
      <c r="G121" s="53">
        <v>7200</v>
      </c>
      <c r="H121" s="5"/>
      <c r="I121" s="5"/>
      <c r="J121" s="86">
        <f>(Table5[[#This Row],[RPM]]/5400-1)</f>
        <v>0.33333333333333326</v>
      </c>
      <c r="K121" s="56">
        <v>202</v>
      </c>
      <c r="L121">
        <v>5</v>
      </c>
      <c r="M121" s="47">
        <v>600000</v>
      </c>
      <c r="N121">
        <v>300</v>
      </c>
      <c r="O121" s="47">
        <v>1000000</v>
      </c>
      <c r="P121" s="46">
        <v>1000000000000000</v>
      </c>
      <c r="Q121" s="74">
        <f>12*1.79</f>
        <v>21.48</v>
      </c>
      <c r="R121" s="5">
        <v>9.1</v>
      </c>
      <c r="S121" s="5">
        <v>7.1</v>
      </c>
      <c r="T121" s="75">
        <v>1</v>
      </c>
      <c r="U121" s="70">
        <v>174.99</v>
      </c>
      <c r="V121" s="10">
        <f>Table5[[#This Row],[Cost]]/Table5[[#This Row],[SizTB]]</f>
        <v>43.747500000000002</v>
      </c>
      <c r="W121" s="11">
        <f>Table5[[#This Row],[Cost]]+((CompareWarrYrs-Table5[[#This Row],[Warnty]])*(Incremental_Warr_Yr*Table5[[#This Row],[Cost]]))</f>
        <v>174.99</v>
      </c>
      <c r="X121" s="6">
        <f>Table5[[#This Row],[$+Warr]]/Table5[[#This Row],[SizTB]]</f>
        <v>43.747500000000002</v>
      </c>
      <c r="Y121" s="10">
        <f>Table5[[#This Row],[$PerTB]]/CompareWarrYrs</f>
        <v>8.7495000000000012</v>
      </c>
      <c r="Z121" s="7"/>
      <c r="AA121" s="58">
        <f>(((Table5[[#This Row],[Watts Active]]*Power_On_Hours_Year/1000)*Active_Duty_Cycle)+((Table5[[#This Row],[Watts Idle]]*Power_On_Hours_Year/1000)*(100%-Active_Duty_Cycle)))*CostPerKWH</f>
        <v>8.2179000000000002</v>
      </c>
      <c r="AB121" s="59">
        <f>Table5[[#This Row],[Energy$year]]/Table5[[#This Row],[SizTB]]</f>
        <v>2.0544750000000001</v>
      </c>
      <c r="AC121" s="51"/>
    </row>
    <row r="122" spans="1:29" x14ac:dyDescent="0.25">
      <c r="A122" s="1">
        <v>42842</v>
      </c>
      <c r="B122" t="s">
        <v>6</v>
      </c>
      <c r="C122" s="122" t="s">
        <v>12</v>
      </c>
      <c r="D122" s="37" t="s">
        <v>57</v>
      </c>
      <c r="E122" s="134">
        <v>3.5</v>
      </c>
      <c r="F122" s="119">
        <v>5</v>
      </c>
      <c r="G122" s="53">
        <v>7200</v>
      </c>
      <c r="H122" s="5"/>
      <c r="I122" s="5"/>
      <c r="J122" s="86">
        <f>(Table5[[#This Row],[RPM]]/5400-1)</f>
        <v>0.33333333333333326</v>
      </c>
      <c r="K122" s="56"/>
      <c r="L122">
        <v>5</v>
      </c>
      <c r="M122" s="47">
        <v>600000</v>
      </c>
      <c r="N122">
        <v>300</v>
      </c>
      <c r="O122" s="47">
        <v>1000000</v>
      </c>
      <c r="P122" s="46">
        <v>1000000000000000</v>
      </c>
      <c r="Q122" s="74">
        <f>12*1.9</f>
        <v>22.799999999999997</v>
      </c>
      <c r="R122" s="5">
        <v>10.6</v>
      </c>
      <c r="S122" s="5">
        <v>7.4</v>
      </c>
      <c r="T122" s="75">
        <v>1.6</v>
      </c>
      <c r="U122" s="70">
        <v>259.99</v>
      </c>
      <c r="V122" s="10">
        <f>Table5[[#This Row],[Cost]]/Table5[[#This Row],[SizTB]]</f>
        <v>51.998000000000005</v>
      </c>
      <c r="W122" s="11">
        <f>Table5[[#This Row],[Cost]]+((CompareWarrYrs-Table5[[#This Row],[Warnty]])*(Incremental_Warr_Yr*Table5[[#This Row],[Cost]]))</f>
        <v>259.99</v>
      </c>
      <c r="X122" s="6">
        <f>Table5[[#This Row],[$+Warr]]/Table5[[#This Row],[SizTB]]</f>
        <v>51.998000000000005</v>
      </c>
      <c r="Y122" s="10">
        <f>Table5[[#This Row],[$PerTB]]/CompareWarrYrs</f>
        <v>10.399600000000001</v>
      </c>
      <c r="Z122" s="13"/>
      <c r="AA122" s="58">
        <f>(((Table5[[#This Row],[Watts Active]]*Power_On_Hours_Year/1000)*Active_Duty_Cycle)+((Table5[[#This Row],[Watts Idle]]*Power_On_Hours_Year/1000)*(100%-Active_Duty_Cycle)))*CostPerKWH</f>
        <v>8.8095888000000002</v>
      </c>
      <c r="AB122" s="59">
        <f>Table5[[#This Row],[Energy$year]]/Table5[[#This Row],[SizTB]]</f>
        <v>1.76191776</v>
      </c>
      <c r="AC122" s="51"/>
    </row>
    <row r="123" spans="1:29" x14ac:dyDescent="0.25">
      <c r="A123" s="1">
        <v>43019</v>
      </c>
      <c r="B123" t="s">
        <v>6</v>
      </c>
      <c r="C123" s="122" t="s">
        <v>12</v>
      </c>
      <c r="D123" s="37" t="s">
        <v>57</v>
      </c>
      <c r="E123" s="134">
        <v>3.5</v>
      </c>
      <c r="F123" s="119">
        <v>6</v>
      </c>
      <c r="G123" s="53">
        <v>7200</v>
      </c>
      <c r="H123" s="5"/>
      <c r="I123" s="5"/>
      <c r="J123" s="86">
        <f>(Table5[[#This Row],[RPM]]/5400-1)</f>
        <v>0.33333333333333326</v>
      </c>
      <c r="K123" s="56">
        <v>227</v>
      </c>
      <c r="L123">
        <v>5</v>
      </c>
      <c r="M123" s="47">
        <v>600000</v>
      </c>
      <c r="N123">
        <v>300</v>
      </c>
      <c r="O123" s="47">
        <v>1000000</v>
      </c>
      <c r="P123" s="46">
        <v>1000000000000000</v>
      </c>
      <c r="Q123" s="74">
        <f>12*1.79</f>
        <v>21.48</v>
      </c>
      <c r="R123" s="5">
        <v>9.1</v>
      </c>
      <c r="S123" s="5">
        <v>7.1</v>
      </c>
      <c r="T123" s="75">
        <v>1</v>
      </c>
      <c r="U123" s="70">
        <v>235.99</v>
      </c>
      <c r="V123" s="10">
        <f>Table5[[#This Row],[Cost]]/Table5[[#This Row],[SizTB]]</f>
        <v>39.331666666666671</v>
      </c>
      <c r="W123" s="11">
        <f>Table5[[#This Row],[Cost]]+((CompareWarrYrs-Table5[[#This Row],[Warnty]])*(Incremental_Warr_Yr*Table5[[#This Row],[Cost]]))</f>
        <v>235.99</v>
      </c>
      <c r="X123" s="6">
        <f>Table5[[#This Row],[$+Warr]]/Table5[[#This Row],[SizTB]]</f>
        <v>39.331666666666671</v>
      </c>
      <c r="Y123" s="10">
        <f>Table5[[#This Row],[$PerTB]]/CompareWarrYrs</f>
        <v>7.8663333333333343</v>
      </c>
      <c r="Z123" s="7"/>
      <c r="AA123" s="58">
        <f>(((Table5[[#This Row],[Watts Active]]*Power_On_Hours_Year/1000)*Active_Duty_Cycle)+((Table5[[#This Row],[Watts Idle]]*Power_On_Hours_Year/1000)*(100%-Active_Duty_Cycle)))*CostPerKWH</f>
        <v>8.2179000000000002</v>
      </c>
      <c r="AB123" s="59">
        <f>Table5[[#This Row],[Energy$year]]/Table5[[#This Row],[SizTB]]</f>
        <v>1.36965</v>
      </c>
      <c r="AC123" s="51"/>
    </row>
    <row r="124" spans="1:29" x14ac:dyDescent="0.25">
      <c r="A124" s="1">
        <v>43019</v>
      </c>
      <c r="B124" t="s">
        <v>6</v>
      </c>
      <c r="C124" s="122" t="s">
        <v>12</v>
      </c>
      <c r="D124" s="37" t="s">
        <v>57</v>
      </c>
      <c r="E124" s="134">
        <v>3.5</v>
      </c>
      <c r="F124" s="119">
        <v>8</v>
      </c>
      <c r="G124" s="53">
        <v>7200</v>
      </c>
      <c r="H124" s="5"/>
      <c r="I124" s="5"/>
      <c r="J124" s="86">
        <f>(Table5[[#This Row],[RPM]]/5400-1)</f>
        <v>0.33333333333333326</v>
      </c>
      <c r="K124" s="56">
        <v>205</v>
      </c>
      <c r="L124">
        <v>5</v>
      </c>
      <c r="M124" s="47">
        <v>600000</v>
      </c>
      <c r="N124">
        <v>300</v>
      </c>
      <c r="O124" s="47">
        <v>1000000</v>
      </c>
      <c r="P124" s="46">
        <v>1000000000000000</v>
      </c>
      <c r="Q124" s="74">
        <f>12*1.79</f>
        <v>21.48</v>
      </c>
      <c r="R124" s="5">
        <v>8.3000000000000007</v>
      </c>
      <c r="S124" s="5">
        <v>5.2</v>
      </c>
      <c r="T124" s="75">
        <v>1</v>
      </c>
      <c r="U124" s="70">
        <v>328</v>
      </c>
      <c r="V124" s="10">
        <f>Table5[[#This Row],[Cost]]/Table5[[#This Row],[SizTB]]</f>
        <v>41</v>
      </c>
      <c r="W124" s="11">
        <f>Table5[[#This Row],[Cost]]+((CompareWarrYrs-Table5[[#This Row],[Warnty]])*(Incremental_Warr_Yr*Table5[[#This Row],[Cost]]))</f>
        <v>328</v>
      </c>
      <c r="X124" s="6">
        <f>Table5[[#This Row],[$+Warr]]/Table5[[#This Row],[SizTB]]</f>
        <v>41</v>
      </c>
      <c r="Y124" s="10">
        <f>Table5[[#This Row],[$PerTB]]/CompareWarrYrs</f>
        <v>8.1999999999999993</v>
      </c>
      <c r="Z124" s="7"/>
      <c r="AA124" s="58">
        <f>(((Table5[[#This Row],[Watts Active]]*Power_On_Hours_Year/1000)*Active_Duty_Cycle)+((Table5[[#This Row],[Watts Idle]]*Power_On_Hours_Year/1000)*(100%-Active_Duty_Cycle)))*CostPerKWH</f>
        <v>6.377090400000001</v>
      </c>
      <c r="AB124" s="59">
        <f>Table5[[#This Row],[Energy$year]]/Table5[[#This Row],[SizTB]]</f>
        <v>0.79713630000000013</v>
      </c>
      <c r="AC124" s="51" t="s">
        <v>43</v>
      </c>
    </row>
    <row r="125" spans="1:29" ht="15.75" thickBot="1" x14ac:dyDescent="0.3">
      <c r="A125" s="1">
        <v>43019</v>
      </c>
      <c r="B125" t="s">
        <v>6</v>
      </c>
      <c r="C125" s="122" t="s">
        <v>12</v>
      </c>
      <c r="D125" s="143" t="s">
        <v>57</v>
      </c>
      <c r="E125" s="134">
        <v>3.5</v>
      </c>
      <c r="F125" s="119">
        <v>10</v>
      </c>
      <c r="G125" s="54">
        <v>7200</v>
      </c>
      <c r="H125" s="5"/>
      <c r="I125" s="5"/>
      <c r="J125" s="86">
        <f>(Table5[[#This Row],[RPM]]/5400-1)</f>
        <v>0.33333333333333326</v>
      </c>
      <c r="K125" s="57">
        <v>240</v>
      </c>
      <c r="L125">
        <v>5</v>
      </c>
      <c r="M125" s="47">
        <v>600000</v>
      </c>
      <c r="N125">
        <v>300</v>
      </c>
      <c r="O125" s="47">
        <v>1000000</v>
      </c>
      <c r="P125" s="46">
        <v>1000000000000000</v>
      </c>
      <c r="Q125" s="74">
        <f>12*1.8</f>
        <v>21.6</v>
      </c>
      <c r="R125" s="5">
        <v>5.7</v>
      </c>
      <c r="S125" s="5">
        <v>2.8</v>
      </c>
      <c r="T125" s="75">
        <v>0.5</v>
      </c>
      <c r="U125" s="70">
        <v>440.77</v>
      </c>
      <c r="V125" s="10">
        <f>Table5[[#This Row],[Cost]]/Table5[[#This Row],[SizTB]]</f>
        <v>44.076999999999998</v>
      </c>
      <c r="W125" s="11">
        <f>Table5[[#This Row],[Cost]]+((CompareWarrYrs-Table5[[#This Row],[Warnty]])*(Incremental_Warr_Yr*Table5[[#This Row],[Cost]]))</f>
        <v>440.77</v>
      </c>
      <c r="X125" s="6">
        <f>Table5[[#This Row],[$+Warr]]/Table5[[#This Row],[SizTB]]</f>
        <v>44.076999999999998</v>
      </c>
      <c r="Y125" s="10">
        <f>Table5[[#This Row],[$PerTB]]/CompareWarrYrs</f>
        <v>8.8154000000000003</v>
      </c>
      <c r="Z125" s="7"/>
      <c r="AA125" s="62">
        <f>(((Table5[[#This Row],[Watts Active]]*Power_On_Hours_Year/1000)*Active_Duty_Cycle)+((Table5[[#This Row],[Watts Idle]]*Power_On_Hours_Year/1000)*(100%-Active_Duty_Cycle)))*CostPerKWH</f>
        <v>3.7035336000000001</v>
      </c>
      <c r="AB125" s="63">
        <f>Table5[[#This Row],[Energy$year]]/Table5[[#This Row],[SizTB]]</f>
        <v>0.37035336000000002</v>
      </c>
      <c r="AC125" s="51" t="s">
        <v>43</v>
      </c>
    </row>
    <row r="126" spans="1:29" ht="15.75" thickBot="1" x14ac:dyDescent="0.3">
      <c r="A126" s="7"/>
      <c r="B126" s="7"/>
      <c r="C126" s="7"/>
      <c r="D126" s="15" t="s">
        <v>25</v>
      </c>
      <c r="E126" s="137">
        <f>MIN(Table5[FormFactor])</f>
        <v>2.5</v>
      </c>
      <c r="F126" s="82">
        <f>MIN(Table5[SizTB])</f>
        <v>0.6</v>
      </c>
      <c r="G126" s="87"/>
      <c r="H126" s="16">
        <f>MIN(Table5[AvgLatency])</f>
        <v>1.99</v>
      </c>
      <c r="I126" s="16">
        <f>MIN(Table5[SeekT])</f>
        <v>3.1</v>
      </c>
      <c r="J126" s="18"/>
      <c r="K126" s="88">
        <f>MIN(Table5[XferRate])</f>
        <v>99</v>
      </c>
      <c r="L126" s="67">
        <f>MIN(Table5[Warnty])</f>
        <v>2</v>
      </c>
      <c r="M126" s="48">
        <f>MIN(Table5[CycleCnt])</f>
        <v>300000</v>
      </c>
      <c r="N126" s="16">
        <f>MIN(Table5[WorkLoad])</f>
        <v>55</v>
      </c>
      <c r="O126" s="48">
        <f>MIN(Table5[MTBF])</f>
        <v>500000</v>
      </c>
      <c r="P126" s="64">
        <f>MIN(P3:P125)</f>
        <v>100000000000000</v>
      </c>
      <c r="Q126" s="76">
        <f>MIN(Table5[MaxStartupWatts])</f>
        <v>4.5</v>
      </c>
      <c r="R126" s="16">
        <f>MIN(R3:R125)</f>
        <v>1.4</v>
      </c>
      <c r="S126" s="16">
        <f>MIN(S3:S125)</f>
        <v>0.45</v>
      </c>
      <c r="T126" s="77">
        <f>MIN(T3:T125)</f>
        <v>0.1</v>
      </c>
      <c r="U126" s="67"/>
      <c r="V126" s="17">
        <f>MIN(V3:V125)</f>
        <v>0</v>
      </c>
      <c r="W126" s="18"/>
      <c r="X126" s="17">
        <f>MIN(X3:X125)</f>
        <v>0</v>
      </c>
      <c r="Y126" s="17">
        <f>MIN(Y3:Y125)</f>
        <v>0</v>
      </c>
      <c r="Z126" s="18"/>
      <c r="AA126" s="17">
        <f>MIN(AA3:AA125)</f>
        <v>0.76700400000000002</v>
      </c>
      <c r="AB126" s="19">
        <f>MIN(AB3:AB125)</f>
        <v>0.28488720000000006</v>
      </c>
    </row>
    <row r="127" spans="1:29" ht="15.75" thickBot="1" x14ac:dyDescent="0.3">
      <c r="B127" s="4"/>
      <c r="D127" s="20" t="s">
        <v>40</v>
      </c>
      <c r="E127" s="138">
        <f>AVERAGE(Table5[FormFactor])</f>
        <v>3.3292682926829267</v>
      </c>
      <c r="F127" s="83">
        <f>AVERAGE(Table5[SizTB])</f>
        <v>4.645934959349594</v>
      </c>
      <c r="G127" s="89"/>
      <c r="H127" s="21">
        <f>AVERAGE(Table5[AvgLatency])</f>
        <v>4.1753968253968221</v>
      </c>
      <c r="I127" s="21">
        <f>AVERAGE(Table5[SeekT])</f>
        <v>9.9941379310344836</v>
      </c>
      <c r="J127" s="22"/>
      <c r="K127" s="90">
        <f>AVERAGE(Table5[XferRate])</f>
        <v>195.02912621359224</v>
      </c>
      <c r="L127" s="68">
        <f>AVERAGE(Table5[Warnty])</f>
        <v>3.910569105691057</v>
      </c>
      <c r="M127" s="49">
        <f>AVERAGE(Table5[CycleCnt])</f>
        <v>518823.5294117647</v>
      </c>
      <c r="N127" s="21">
        <f>AVERAGE(Table5[WorkLoad])</f>
        <v>335</v>
      </c>
      <c r="O127" s="49">
        <f>AVERAGE(O3:O125)</f>
        <v>1550649.3506493506</v>
      </c>
      <c r="P127" s="65">
        <f>AVERAGE(P3:P125)</f>
        <v>1950943396226415</v>
      </c>
      <c r="Q127" s="78">
        <f>AVERAGE(Table5[MaxStartupWatts])</f>
        <v>20.004373333333334</v>
      </c>
      <c r="R127" s="21">
        <f>AVERAGE(R3:R125)</f>
        <v>6.6474545454545471</v>
      </c>
      <c r="S127" s="21">
        <f>AVERAGE(S3:S125)</f>
        <v>4.7027192982456132</v>
      </c>
      <c r="T127" s="79">
        <f>AVERAGE(T3:T125)</f>
        <v>0.7226666666666669</v>
      </c>
      <c r="U127" s="71"/>
      <c r="V127" s="23">
        <f>AVERAGE(V3:V125)</f>
        <v>51.323025745257418</v>
      </c>
      <c r="W127" s="22"/>
      <c r="X127" s="23">
        <f>AVERAGE(X3:X125)</f>
        <v>56.041879749322447</v>
      </c>
      <c r="Y127" s="23">
        <f>AVERAGE(Y3:Y125)</f>
        <v>11.208375949864498</v>
      </c>
      <c r="Z127" s="22"/>
      <c r="AA127" s="23">
        <f>AVERAGE(AA3:AA125)</f>
        <v>5.612237257777779</v>
      </c>
      <c r="AB127" s="24">
        <f>AVERAGE(AB3:AB125)</f>
        <v>1.8976693998677245</v>
      </c>
    </row>
    <row r="128" spans="1:29" ht="15.75" thickBot="1" x14ac:dyDescent="0.3">
      <c r="B128" s="4"/>
      <c r="D128" s="93" t="s">
        <v>24</v>
      </c>
      <c r="E128" s="139">
        <f>MEDIAN(Table5[FormFactor])</f>
        <v>3.5</v>
      </c>
      <c r="F128" s="83">
        <f>MEDIAN(Table5[SizTB])</f>
        <v>4</v>
      </c>
      <c r="G128" s="91"/>
      <c r="H128" s="21">
        <f>MEDIAN(Table5[AvgLatency])</f>
        <v>4.16</v>
      </c>
      <c r="I128" s="21">
        <f>MEDIAN(Table5[SeekT])</f>
        <v>9.5</v>
      </c>
      <c r="J128" s="25"/>
      <c r="K128" s="90">
        <f>MEDIAN(Table5[XferRate])</f>
        <v>202</v>
      </c>
      <c r="L128" s="68">
        <f>MEDIAN(Table5[Warnty])</f>
        <v>5</v>
      </c>
      <c r="M128" s="49">
        <f>MEDIAN(Table5[CycleCnt])</f>
        <v>600000</v>
      </c>
      <c r="N128" s="21">
        <f>MEDIAN(Table5[WorkLoad])</f>
        <v>300</v>
      </c>
      <c r="O128" s="49">
        <f>MEDIAN(Table5[MTBF])</f>
        <v>1200000</v>
      </c>
      <c r="P128" s="65">
        <f>MEDIAN(P3:P125)</f>
        <v>1000000000000000</v>
      </c>
      <c r="Q128" s="78">
        <f>MEDIAN(Table5[MaxStartupWatts])</f>
        <v>21.6</v>
      </c>
      <c r="R128" s="21">
        <f>MEDIAN(R3:R125)</f>
        <v>6.9749999999999996</v>
      </c>
      <c r="S128" s="21">
        <f>MEDIAN(S3:S125)</f>
        <v>5</v>
      </c>
      <c r="T128" s="79">
        <f>MEDIAN(T3:T125)</f>
        <v>0.74</v>
      </c>
      <c r="U128" s="72"/>
      <c r="V128" s="23">
        <f>MEDIAN(V3:V125)</f>
        <v>42.494999999999997</v>
      </c>
      <c r="W128" s="25"/>
      <c r="X128" s="23">
        <f>MEDIAN(X3:X125)</f>
        <v>43.915933333333328</v>
      </c>
      <c r="Y128" s="23">
        <f>MEDIAN(Y3:Y125)</f>
        <v>8.7831866666666656</v>
      </c>
      <c r="Z128" s="25"/>
      <c r="AA128" s="23">
        <f>MEDIAN(AA3:AA125)</f>
        <v>5.960716800000001</v>
      </c>
      <c r="AB128" s="24">
        <f>MEDIAN(AB3:AB125)</f>
        <v>1.36554105</v>
      </c>
    </row>
    <row r="129" spans="1:28" ht="15.75" thickBot="1" x14ac:dyDescent="0.3">
      <c r="B129" t="s">
        <v>125</v>
      </c>
      <c r="D129" s="20" t="s">
        <v>26</v>
      </c>
      <c r="E129" s="138">
        <f>MAX(Table5[FormFactor])</f>
        <v>3.5</v>
      </c>
      <c r="F129" s="83">
        <f>MAX(Table5[SizTB])</f>
        <v>14</v>
      </c>
      <c r="G129" s="89"/>
      <c r="H129" s="21">
        <f>MAX(Table5[AvgLatency])</f>
        <v>6</v>
      </c>
      <c r="I129" s="21">
        <f>MAX(Table5[SeekT])</f>
        <v>15</v>
      </c>
      <c r="J129" s="22"/>
      <c r="K129" s="90">
        <f>MAX(Table5[XferRate])</f>
        <v>270</v>
      </c>
      <c r="L129" s="68">
        <f>MAX(Table5[Warnty])</f>
        <v>5</v>
      </c>
      <c r="M129" s="49">
        <f>MAX(Table5[CycleCnt])</f>
        <v>600000</v>
      </c>
      <c r="N129" s="21">
        <f>MAX(Table5[WorkLoad])</f>
        <v>550</v>
      </c>
      <c r="O129" s="49">
        <f>MAX(Table5[MTBF])</f>
        <v>2500000</v>
      </c>
      <c r="P129" s="65">
        <f>MAX(P3:P125)</f>
        <v>1E+17</v>
      </c>
      <c r="Q129" s="78">
        <f>MAX(Table5[MaxStartupWatts])</f>
        <v>31.200000000000003</v>
      </c>
      <c r="R129" s="21">
        <f>MAX(R3:R125)</f>
        <v>11.27</v>
      </c>
      <c r="S129" s="21">
        <f>MAX(S3:S125)</f>
        <v>8.15</v>
      </c>
      <c r="T129" s="79">
        <f>MAX(T3:T125)</f>
        <v>1.6</v>
      </c>
      <c r="U129" s="68"/>
      <c r="V129" s="23">
        <f>MAX(V3:V125)</f>
        <v>433.31666666666672</v>
      </c>
      <c r="W129" s="22"/>
      <c r="X129" s="23">
        <f>MAX(X3:X125)</f>
        <v>433.31666666666672</v>
      </c>
      <c r="Y129" s="23">
        <f>MAX(Y3:Y125)</f>
        <v>86.663333333333341</v>
      </c>
      <c r="Z129" s="22"/>
      <c r="AA129" s="23">
        <f>MAX(AA3:AA125)</f>
        <v>9.2917056000000002</v>
      </c>
      <c r="AB129" s="24">
        <f>MAX(AB3:AB125)</f>
        <v>11.212868</v>
      </c>
    </row>
    <row r="130" spans="1:28" ht="15.75" thickBot="1" x14ac:dyDescent="0.3">
      <c r="D130" s="26" t="s">
        <v>44</v>
      </c>
      <c r="E130" s="66">
        <f>COUNT(Table5[FormFactor])</f>
        <v>123</v>
      </c>
      <c r="F130" s="66">
        <f>COUNT(Table5[SizTB])</f>
        <v>123</v>
      </c>
      <c r="G130" s="92"/>
      <c r="H130" s="27">
        <f>COUNT(Table5[AvgLatency])</f>
        <v>63</v>
      </c>
      <c r="I130" s="27">
        <f>COUNT(Table5[SeekT])</f>
        <v>29</v>
      </c>
      <c r="J130" s="28"/>
      <c r="K130" s="81">
        <f>COUNT(Table5[XferRate])</f>
        <v>103</v>
      </c>
      <c r="L130" s="69">
        <f>COUNT(Table5[Warnty])</f>
        <v>123</v>
      </c>
      <c r="M130" s="27">
        <f>COUNT(Table5[CycleCnt])</f>
        <v>85</v>
      </c>
      <c r="N130" s="27">
        <f>COUNT(Table5[WorkLoad])</f>
        <v>72</v>
      </c>
      <c r="O130" s="27">
        <f>COUNT(Table5[MTBF])</f>
        <v>77</v>
      </c>
      <c r="P130" s="66">
        <f>COUNT(Table5[RErrRate])</f>
        <v>106</v>
      </c>
      <c r="Q130" s="80">
        <f>COUNT(Table5[MaxStartupWatts])</f>
        <v>75</v>
      </c>
      <c r="R130" s="27">
        <f>COUNT(Table5[Watts Active])</f>
        <v>110</v>
      </c>
      <c r="S130" s="27">
        <f>COUNT(Table5[Watts Idle])</f>
        <v>114</v>
      </c>
      <c r="T130" s="81">
        <f>COUNT(Table5[WattsStandby])</f>
        <v>75</v>
      </c>
      <c r="U130" s="73"/>
      <c r="V130" s="27">
        <f>COUNT(Table5[$ TB])</f>
        <v>123</v>
      </c>
      <c r="W130" s="27"/>
      <c r="X130" s="27">
        <f>COUNT(Table5[$PerTB])</f>
        <v>123</v>
      </c>
      <c r="Y130" s="27">
        <f>COUNTA(Table5[$ TB/year])</f>
        <v>123</v>
      </c>
      <c r="Z130" s="28"/>
      <c r="AA130" s="27">
        <f>COUNT(Table5[Energy$year])</f>
        <v>108</v>
      </c>
      <c r="AB130" s="29">
        <f>COUNT(Table5[Energy$yearPerTB])</f>
        <v>108</v>
      </c>
    </row>
    <row r="133" spans="1:28" ht="15.75" thickBot="1" x14ac:dyDescent="0.3"/>
    <row r="134" spans="1:28" ht="15.75" thickBot="1" x14ac:dyDescent="0.3">
      <c r="A134" s="168" t="s">
        <v>27</v>
      </c>
      <c r="B134" s="169"/>
      <c r="C134" s="166" t="s">
        <v>22</v>
      </c>
      <c r="D134" s="167"/>
      <c r="E134" s="135"/>
    </row>
    <row r="135" spans="1:28" ht="15.75" thickBot="1" x14ac:dyDescent="0.3">
      <c r="A135" s="181">
        <f>MAX(Table5[Date])</f>
        <v>43021</v>
      </c>
      <c r="B135" s="182"/>
      <c r="C135" s="31" t="s">
        <v>19</v>
      </c>
      <c r="D135" s="39">
        <v>0.125</v>
      </c>
      <c r="E135" s="140"/>
      <c r="G135" s="34"/>
      <c r="H135" s="34"/>
      <c r="I135" s="34"/>
    </row>
    <row r="136" spans="1:28" ht="15.75" thickBot="1" x14ac:dyDescent="0.3">
      <c r="C136" s="31" t="s">
        <v>32</v>
      </c>
      <c r="D136" s="32">
        <v>0.2</v>
      </c>
      <c r="E136" s="141"/>
      <c r="G136" s="35"/>
      <c r="H136" s="35"/>
      <c r="I136" s="35"/>
    </row>
    <row r="137" spans="1:28" ht="15.75" thickBot="1" x14ac:dyDescent="0.3">
      <c r="A137" s="168" t="s">
        <v>79</v>
      </c>
      <c r="B137" s="169"/>
      <c r="C137" s="31" t="s">
        <v>39</v>
      </c>
      <c r="D137" s="33">
        <v>5</v>
      </c>
      <c r="E137" s="4"/>
      <c r="G137" s="36"/>
      <c r="H137" s="36"/>
      <c r="I137" s="36"/>
    </row>
    <row r="138" spans="1:28" ht="15.75" thickBot="1" x14ac:dyDescent="0.3">
      <c r="A138" s="179">
        <f>MIN(Table5[Date])</f>
        <v>42842</v>
      </c>
      <c r="B138" s="180"/>
      <c r="C138" s="31" t="s">
        <v>51</v>
      </c>
      <c r="D138" s="32">
        <v>0.11</v>
      </c>
      <c r="E138" s="141"/>
      <c r="G138" s="35"/>
      <c r="H138" s="35"/>
      <c r="I138" s="35"/>
    </row>
    <row r="139" spans="1:28" ht="15.75" thickBot="1" x14ac:dyDescent="0.3">
      <c r="C139" s="31" t="s">
        <v>33</v>
      </c>
      <c r="D139" s="38">
        <f>365.24*Hours_In_Day</f>
        <v>8765.76</v>
      </c>
      <c r="E139" s="36"/>
    </row>
    <row r="140" spans="1:28" ht="15.75" thickBot="1" x14ac:dyDescent="0.3">
      <c r="C140" s="31" t="s">
        <v>59</v>
      </c>
      <c r="D140" s="33">
        <v>24</v>
      </c>
      <c r="E140" s="4"/>
      <c r="G140" s="36"/>
      <c r="H140" s="36"/>
      <c r="I140" s="36"/>
    </row>
    <row r="141" spans="1:28" ht="15.75" thickBot="1" x14ac:dyDescent="0.3">
      <c r="C141" s="31" t="s">
        <v>61</v>
      </c>
      <c r="D141" s="33">
        <f>Days_In_Month*Hours_In_Day</f>
        <v>730.48</v>
      </c>
      <c r="E141" s="4"/>
      <c r="G141" s="36"/>
      <c r="H141" s="36"/>
      <c r="I141" s="36"/>
    </row>
    <row r="142" spans="1:28" ht="15.75" thickBot="1" x14ac:dyDescent="0.3">
      <c r="C142" s="31" t="s">
        <v>58</v>
      </c>
      <c r="D142" s="33">
        <f>Days_in_Year/Months_In_Year</f>
        <v>30.436666666666667</v>
      </c>
      <c r="E142" s="4"/>
    </row>
    <row r="143" spans="1:28" ht="15.75" thickBot="1" x14ac:dyDescent="0.3">
      <c r="C143" s="31" t="s">
        <v>65</v>
      </c>
      <c r="D143" s="33">
        <v>365.24</v>
      </c>
      <c r="E143" s="4"/>
    </row>
    <row r="144" spans="1:28" ht="15.75" thickBot="1" x14ac:dyDescent="0.3">
      <c r="C144" s="31" t="s">
        <v>60</v>
      </c>
      <c r="D144" s="33">
        <v>12</v>
      </c>
      <c r="E144" s="4"/>
      <c r="G144" s="36"/>
      <c r="H144" s="36"/>
      <c r="I144" s="36"/>
    </row>
    <row r="145" spans="1:3" x14ac:dyDescent="0.25">
      <c r="C145" s="4"/>
    </row>
    <row r="146" spans="1:3" x14ac:dyDescent="0.25">
      <c r="A146" t="s">
        <v>45</v>
      </c>
    </row>
  </sheetData>
  <sortState ref="A2:S66">
    <sortCondition ref="B2:B66"/>
    <sortCondition ref="C2:C66"/>
    <sortCondition ref="G2:G66"/>
  </sortState>
  <mergeCells count="12">
    <mergeCell ref="A138:B138"/>
    <mergeCell ref="A137:B137"/>
    <mergeCell ref="A135:B135"/>
    <mergeCell ref="W1:Y1"/>
    <mergeCell ref="U1:V1"/>
    <mergeCell ref="L1:P1"/>
    <mergeCell ref="AA1:AB1"/>
    <mergeCell ref="C134:D134"/>
    <mergeCell ref="A134:B134"/>
    <mergeCell ref="G1:K1"/>
    <mergeCell ref="Q1:T1"/>
    <mergeCell ref="A1:F1"/>
  </mergeCells>
  <conditionalFormatting sqref="V3:V125">
    <cfRule type="top10" dxfId="5" priority="383" bottom="1" rank="20"/>
  </conditionalFormatting>
  <conditionalFormatting sqref="Y3:Y125">
    <cfRule type="top10" dxfId="4" priority="386" bottom="1" rank="20"/>
  </conditionalFormatting>
  <conditionalFormatting sqref="AB3:AB125">
    <cfRule type="aboveAverage" dxfId="3" priority="389" aboveAverage="0"/>
  </conditionalFormatting>
  <conditionalFormatting sqref="AA3:AB125">
    <cfRule type="colorScale" priority="392">
      <colorScale>
        <cfvo type="min"/>
        <cfvo type="formula" val="$AA$127"/>
        <cfvo type="max"/>
        <color theme="9"/>
        <color rgb="FFFFEB84"/>
        <color theme="5"/>
      </colorScale>
    </cfRule>
  </conditionalFormatting>
  <hyperlinks>
    <hyperlink ref="C21" r:id="rId1"/>
    <hyperlink ref="C3" r:id="rId2"/>
    <hyperlink ref="C4:C6" r:id="rId3" display="Deskstar NAS"/>
    <hyperlink ref="C15" r:id="rId4"/>
    <hyperlink ref="C14" r:id="rId5"/>
    <hyperlink ref="C16" r:id="rId6"/>
    <hyperlink ref="C9:C12" r:id="rId7" display="Ultrastar 7K6"/>
  </hyperlinks>
  <pageMargins left="0.7" right="0.7" top="0.75" bottom="0.75" header="0.3" footer="0.3"/>
  <pageSetup orientation="portrait" verticalDpi="0" r:id="rId8"/>
  <cellWatches>
    <cellWatch r="Y3"/>
  </cellWatches>
  <ignoredErrors>
    <ignoredError sqref="Q69 Q121:Q122 Q126:Q129" formula="1"/>
  </ignoredErrors>
  <drawing r:id="rId9"/>
  <legacyDrawing r:id="rId10"/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workbookViewId="0">
      <selection activeCell="F21" sqref="F21"/>
    </sheetView>
  </sheetViews>
  <sheetFormatPr defaultRowHeight="15" x14ac:dyDescent="0.25"/>
  <cols>
    <col min="1" max="1" width="15.42578125" customWidth="1"/>
    <col min="2" max="2" width="19.5703125" customWidth="1"/>
    <col min="3" max="3" width="9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1" spans="1:4" x14ac:dyDescent="0.25">
      <c r="A1" s="124" t="s">
        <v>56</v>
      </c>
      <c r="B1" s="125" t="s">
        <v>57</v>
      </c>
    </row>
    <row r="2" spans="1:4" x14ac:dyDescent="0.25">
      <c r="A2" s="124" t="s">
        <v>105</v>
      </c>
      <c r="B2" s="145">
        <v>3.5</v>
      </c>
    </row>
    <row r="3" spans="1:4" x14ac:dyDescent="0.25">
      <c r="A3" s="124" t="s">
        <v>28</v>
      </c>
      <c r="B3" s="158">
        <v>5</v>
      </c>
    </row>
    <row r="4" spans="1:4" x14ac:dyDescent="0.25">
      <c r="A4" s="190" t="s">
        <v>102</v>
      </c>
      <c r="B4" s="191"/>
    </row>
    <row r="5" spans="1:4" x14ac:dyDescent="0.25">
      <c r="A5" s="128" t="s">
        <v>89</v>
      </c>
      <c r="B5" s="129" t="s">
        <v>99</v>
      </c>
    </row>
    <row r="6" spans="1:4" x14ac:dyDescent="0.25">
      <c r="A6" s="127">
        <v>0.9</v>
      </c>
      <c r="B6" s="126">
        <v>0</v>
      </c>
    </row>
    <row r="7" spans="1:4" x14ac:dyDescent="0.25">
      <c r="A7" s="127">
        <v>1</v>
      </c>
      <c r="B7" s="126">
        <v>18.331999999999997</v>
      </c>
    </row>
    <row r="8" spans="1:4" x14ac:dyDescent="0.25">
      <c r="A8" s="127">
        <v>2</v>
      </c>
      <c r="B8" s="126">
        <v>13.521683333333334</v>
      </c>
    </row>
    <row r="9" spans="1:4" x14ac:dyDescent="0.25">
      <c r="A9" s="127">
        <v>3</v>
      </c>
      <c r="B9" s="126">
        <v>11.486666666666666</v>
      </c>
    </row>
    <row r="10" spans="1:4" x14ac:dyDescent="0.25">
      <c r="A10" s="127">
        <v>4</v>
      </c>
      <c r="B10" s="126">
        <v>9.2913333333333323</v>
      </c>
      <c r="D10" s="121"/>
    </row>
    <row r="11" spans="1:4" x14ac:dyDescent="0.25">
      <c r="A11" s="127">
        <v>5</v>
      </c>
      <c r="B11" s="126">
        <v>12.828200000000002</v>
      </c>
    </row>
    <row r="12" spans="1:4" x14ac:dyDescent="0.25">
      <c r="A12" s="127">
        <v>6</v>
      </c>
      <c r="B12" s="126">
        <v>8.0165611111111108</v>
      </c>
    </row>
    <row r="13" spans="1:4" x14ac:dyDescent="0.25">
      <c r="A13" s="127">
        <v>8</v>
      </c>
      <c r="B13" s="126">
        <v>7.7206666666666663</v>
      </c>
    </row>
    <row r="14" spans="1:4" x14ac:dyDescent="0.25">
      <c r="A14" s="127">
        <v>10</v>
      </c>
      <c r="B14" s="126">
        <v>8.0029199999999996</v>
      </c>
    </row>
    <row r="15" spans="1:4" x14ac:dyDescent="0.25">
      <c r="A15" s="127">
        <v>12</v>
      </c>
      <c r="B15" s="126">
        <v>9.1621666666666659</v>
      </c>
    </row>
    <row r="16" spans="1:4" x14ac:dyDescent="0.25">
      <c r="A16" s="130" t="s">
        <v>100</v>
      </c>
      <c r="B16" s="126">
        <v>10.095486991869921</v>
      </c>
    </row>
    <row r="19" spans="1:2" x14ac:dyDescent="0.25">
      <c r="A19" s="124" t="s">
        <v>56</v>
      </c>
      <c r="B19" s="125" t="s">
        <v>57</v>
      </c>
    </row>
    <row r="20" spans="1:2" x14ac:dyDescent="0.25">
      <c r="A20" s="124" t="s">
        <v>105</v>
      </c>
      <c r="B20" s="145">
        <v>3.5</v>
      </c>
    </row>
    <row r="21" spans="1:2" x14ac:dyDescent="0.25">
      <c r="A21" s="124" t="s">
        <v>28</v>
      </c>
      <c r="B21" s="158">
        <v>5</v>
      </c>
    </row>
    <row r="22" spans="1:2" x14ac:dyDescent="0.25">
      <c r="A22" s="195" t="s">
        <v>112</v>
      </c>
      <c r="B22" s="196"/>
    </row>
    <row r="23" spans="1:2" x14ac:dyDescent="0.25">
      <c r="A23" s="124" t="s">
        <v>89</v>
      </c>
      <c r="B23" s="125" t="s">
        <v>103</v>
      </c>
    </row>
    <row r="24" spans="1:2" x14ac:dyDescent="0.25">
      <c r="A24" s="127">
        <v>0.9</v>
      </c>
      <c r="B24" s="133">
        <v>7.4021973333333335</v>
      </c>
    </row>
    <row r="25" spans="1:2" x14ac:dyDescent="0.25">
      <c r="A25" s="127">
        <v>1</v>
      </c>
      <c r="B25" s="133">
        <v>5.8796335200000014</v>
      </c>
    </row>
    <row r="26" spans="1:2" x14ac:dyDescent="0.25">
      <c r="A26" s="127">
        <v>2</v>
      </c>
      <c r="B26" s="133">
        <v>3.2679849000000001</v>
      </c>
    </row>
    <row r="27" spans="1:2" x14ac:dyDescent="0.25">
      <c r="A27" s="127">
        <v>3</v>
      </c>
      <c r="B27" s="133">
        <v>2.4712138400000003</v>
      </c>
    </row>
    <row r="28" spans="1:2" x14ac:dyDescent="0.25">
      <c r="A28" s="127">
        <v>4</v>
      </c>
      <c r="B28" s="133">
        <v>1.9101138900000001</v>
      </c>
    </row>
    <row r="29" spans="1:2" x14ac:dyDescent="0.25">
      <c r="A29" s="127">
        <v>5</v>
      </c>
      <c r="B29" s="133">
        <v>1.7027488800000001</v>
      </c>
    </row>
    <row r="30" spans="1:2" x14ac:dyDescent="0.25">
      <c r="A30" s="127">
        <v>6</v>
      </c>
      <c r="B30" s="133">
        <v>1.3453006666666667</v>
      </c>
    </row>
    <row r="31" spans="1:2" x14ac:dyDescent="0.25">
      <c r="A31" s="127">
        <v>8</v>
      </c>
      <c r="B31" s="133">
        <v>0.81585485000000002</v>
      </c>
    </row>
    <row r="32" spans="1:2" x14ac:dyDescent="0.25">
      <c r="A32" s="127">
        <v>10</v>
      </c>
      <c r="B32" s="133">
        <v>0.55224287999999988</v>
      </c>
    </row>
    <row r="33" spans="1:2" x14ac:dyDescent="0.25">
      <c r="A33" s="127">
        <v>12</v>
      </c>
      <c r="B33" s="133">
        <v>0.50646613333333335</v>
      </c>
    </row>
    <row r="34" spans="1:2" x14ac:dyDescent="0.25">
      <c r="A34" s="145" t="s">
        <v>104</v>
      </c>
      <c r="B34" s="133">
        <v>2.0530823369105686</v>
      </c>
    </row>
    <row r="37" spans="1:2" x14ac:dyDescent="0.25">
      <c r="A37" s="124" t="s">
        <v>56</v>
      </c>
      <c r="B37" s="125" t="s">
        <v>57</v>
      </c>
    </row>
    <row r="38" spans="1:2" x14ac:dyDescent="0.25">
      <c r="A38" s="124" t="s">
        <v>105</v>
      </c>
      <c r="B38" s="145">
        <v>3.5</v>
      </c>
    </row>
    <row r="39" spans="1:2" x14ac:dyDescent="0.25">
      <c r="A39" s="124" t="s">
        <v>28</v>
      </c>
      <c r="B39" s="158">
        <v>5</v>
      </c>
    </row>
    <row r="40" spans="1:2" x14ac:dyDescent="0.25">
      <c r="A40" s="193" t="s">
        <v>114</v>
      </c>
      <c r="B40" s="194"/>
    </row>
    <row r="41" spans="1:2" x14ac:dyDescent="0.25">
      <c r="A41" s="124" t="s">
        <v>89</v>
      </c>
      <c r="B41" s="125" t="s">
        <v>113</v>
      </c>
    </row>
    <row r="42" spans="1:2" x14ac:dyDescent="0.25">
      <c r="A42" s="127">
        <v>0.9</v>
      </c>
      <c r="B42" s="133">
        <v>6.6619776000000002</v>
      </c>
    </row>
    <row r="43" spans="1:2" x14ac:dyDescent="0.25">
      <c r="A43" s="127">
        <v>1</v>
      </c>
      <c r="B43" s="133">
        <v>5.8796335200000014</v>
      </c>
    </row>
    <row r="44" spans="1:2" x14ac:dyDescent="0.25">
      <c r="A44" s="127">
        <v>2</v>
      </c>
      <c r="B44" s="133">
        <v>6.5359698000000002</v>
      </c>
    </row>
    <row r="45" spans="1:2" x14ac:dyDescent="0.25">
      <c r="A45" s="127">
        <v>3</v>
      </c>
      <c r="B45" s="133">
        <v>7.4136415200000014</v>
      </c>
    </row>
    <row r="46" spans="1:2" x14ac:dyDescent="0.25">
      <c r="A46" s="127">
        <v>4</v>
      </c>
      <c r="B46" s="133">
        <v>7.6404555600000004</v>
      </c>
    </row>
    <row r="47" spans="1:2" x14ac:dyDescent="0.25">
      <c r="A47" s="127">
        <v>5</v>
      </c>
      <c r="B47" s="133">
        <v>8.5137444000000002</v>
      </c>
    </row>
    <row r="48" spans="1:2" x14ac:dyDescent="0.25">
      <c r="A48" s="127">
        <v>6</v>
      </c>
      <c r="B48" s="133">
        <v>8.0718040000000002</v>
      </c>
    </row>
    <row r="49" spans="1:3" x14ac:dyDescent="0.25">
      <c r="A49" s="127">
        <v>8</v>
      </c>
      <c r="B49" s="133">
        <v>6.5268388000000002</v>
      </c>
    </row>
    <row r="50" spans="1:3" x14ac:dyDescent="0.25">
      <c r="A50" s="127">
        <v>10</v>
      </c>
      <c r="B50" s="133">
        <v>5.5224288000000001</v>
      </c>
    </row>
    <row r="51" spans="1:3" x14ac:dyDescent="0.25">
      <c r="A51" s="127">
        <v>12</v>
      </c>
      <c r="B51" s="133">
        <v>6.0775936000000002</v>
      </c>
    </row>
    <row r="52" spans="1:3" x14ac:dyDescent="0.25">
      <c r="A52" s="145" t="s">
        <v>104</v>
      </c>
      <c r="B52" s="133">
        <v>6.8796250068292677</v>
      </c>
    </row>
    <row r="56" spans="1:3" x14ac:dyDescent="0.25">
      <c r="A56" s="131" t="s">
        <v>56</v>
      </c>
      <c r="B56" t="s">
        <v>57</v>
      </c>
    </row>
    <row r="57" spans="1:3" x14ac:dyDescent="0.25">
      <c r="A57" s="131" t="s">
        <v>105</v>
      </c>
      <c r="B57" s="132">
        <v>3.5</v>
      </c>
    </row>
    <row r="58" spans="1:3" x14ac:dyDescent="0.25">
      <c r="A58" s="131" t="s">
        <v>28</v>
      </c>
      <c r="B58" s="157">
        <v>5</v>
      </c>
      <c r="C58" s="144"/>
    </row>
    <row r="59" spans="1:3" x14ac:dyDescent="0.25">
      <c r="A59" s="192" t="s">
        <v>117</v>
      </c>
      <c r="B59" s="192"/>
    </row>
    <row r="60" spans="1:3" x14ac:dyDescent="0.25">
      <c r="A60" s="131" t="s">
        <v>89</v>
      </c>
      <c r="B60" t="s">
        <v>116</v>
      </c>
    </row>
    <row r="61" spans="1:3" x14ac:dyDescent="0.25">
      <c r="A61" s="146">
        <v>7200</v>
      </c>
      <c r="B61" s="116">
        <v>51.739370833333325</v>
      </c>
    </row>
    <row r="62" spans="1:3" x14ac:dyDescent="0.25">
      <c r="A62" s="156" t="s">
        <v>15</v>
      </c>
      <c r="B62" s="116">
        <v>52.186729166666673</v>
      </c>
    </row>
    <row r="63" spans="1:3" x14ac:dyDescent="0.25">
      <c r="A63" s="156" t="s">
        <v>10</v>
      </c>
      <c r="B63" s="116">
        <v>52.516013888888892</v>
      </c>
    </row>
    <row r="64" spans="1:3" x14ac:dyDescent="0.25">
      <c r="A64" s="156" t="s">
        <v>6</v>
      </c>
      <c r="B64" s="116">
        <v>50.485196428571435</v>
      </c>
    </row>
    <row r="65" spans="1:3" x14ac:dyDescent="0.25">
      <c r="A65" s="146">
        <v>15000</v>
      </c>
      <c r="B65" s="116">
        <v>0</v>
      </c>
    </row>
    <row r="66" spans="1:3" x14ac:dyDescent="0.25">
      <c r="A66" s="156" t="s">
        <v>10</v>
      </c>
      <c r="B66" s="116">
        <v>0</v>
      </c>
    </row>
    <row r="67" spans="1:3" x14ac:dyDescent="0.25">
      <c r="A67" s="146" t="s">
        <v>115</v>
      </c>
      <c r="B67" s="116">
        <v>50.477434959349587</v>
      </c>
    </row>
    <row r="78" spans="1:3" x14ac:dyDescent="0.25">
      <c r="A78" s="147"/>
      <c r="B78" s="148"/>
      <c r="C78" s="149"/>
    </row>
    <row r="79" spans="1:3" x14ac:dyDescent="0.25">
      <c r="A79" s="150"/>
      <c r="B79" s="151"/>
      <c r="C79" s="152"/>
    </row>
    <row r="80" spans="1:3" x14ac:dyDescent="0.25">
      <c r="A80" s="150"/>
      <c r="B80" s="151"/>
      <c r="C80" s="152"/>
    </row>
    <row r="81" spans="1:3" x14ac:dyDescent="0.25">
      <c r="A81" s="150"/>
      <c r="B81" s="151"/>
      <c r="C81" s="152"/>
    </row>
    <row r="82" spans="1:3" x14ac:dyDescent="0.25">
      <c r="A82" s="150"/>
      <c r="B82" s="151"/>
      <c r="C82" s="152"/>
    </row>
    <row r="83" spans="1:3" x14ac:dyDescent="0.25">
      <c r="A83" s="150"/>
      <c r="B83" s="151"/>
      <c r="C83" s="152"/>
    </row>
    <row r="84" spans="1:3" x14ac:dyDescent="0.25">
      <c r="A84" s="150"/>
      <c r="B84" s="151"/>
      <c r="C84" s="152"/>
    </row>
    <row r="85" spans="1:3" x14ac:dyDescent="0.25">
      <c r="A85" s="150"/>
      <c r="B85" s="151"/>
      <c r="C85" s="152"/>
    </row>
    <row r="86" spans="1:3" x14ac:dyDescent="0.25">
      <c r="A86" s="150"/>
      <c r="B86" s="151"/>
      <c r="C86" s="152"/>
    </row>
    <row r="87" spans="1:3" x14ac:dyDescent="0.25">
      <c r="A87" s="150"/>
      <c r="B87" s="151"/>
      <c r="C87" s="152"/>
    </row>
    <row r="88" spans="1:3" x14ac:dyDescent="0.25">
      <c r="A88" s="150"/>
      <c r="B88" s="151"/>
      <c r="C88" s="152"/>
    </row>
    <row r="89" spans="1:3" x14ac:dyDescent="0.25">
      <c r="A89" s="150"/>
      <c r="B89" s="151"/>
      <c r="C89" s="152"/>
    </row>
    <row r="90" spans="1:3" x14ac:dyDescent="0.25">
      <c r="A90" s="150"/>
      <c r="B90" s="151"/>
      <c r="C90" s="152"/>
    </row>
    <row r="91" spans="1:3" x14ac:dyDescent="0.25">
      <c r="A91" s="150"/>
      <c r="B91" s="151"/>
      <c r="C91" s="152"/>
    </row>
    <row r="92" spans="1:3" x14ac:dyDescent="0.25">
      <c r="A92" s="150"/>
      <c r="B92" s="151"/>
      <c r="C92" s="152"/>
    </row>
    <row r="93" spans="1:3" x14ac:dyDescent="0.25">
      <c r="A93" s="150"/>
      <c r="B93" s="151"/>
      <c r="C93" s="152"/>
    </row>
    <row r="94" spans="1:3" x14ac:dyDescent="0.25">
      <c r="A94" s="150"/>
      <c r="B94" s="151"/>
      <c r="C94" s="152"/>
    </row>
    <row r="95" spans="1:3" x14ac:dyDescent="0.25">
      <c r="A95" s="153"/>
      <c r="B95" s="154"/>
      <c r="C95" s="155"/>
    </row>
  </sheetData>
  <mergeCells count="4">
    <mergeCell ref="A4:B4"/>
    <mergeCell ref="A59:B59"/>
    <mergeCell ref="A40:B40"/>
    <mergeCell ref="A22:B22"/>
  </mergeCells>
  <pageMargins left="0.7" right="0.7" top="0.75" bottom="0.75" header="0.3" footer="0.3"/>
  <pageSetup orientation="portrait" verticalDpi="0" r:id="rId6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26" workbookViewId="0">
      <selection activeCell="K39" sqref="K39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62</v>
      </c>
    </row>
    <row r="18" spans="1:1" x14ac:dyDescent="0.25">
      <c r="A18" t="s">
        <v>88</v>
      </c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40" t="s">
        <v>56</v>
      </c>
      <c r="E1" s="9" t="s">
        <v>29</v>
      </c>
      <c r="F1" s="84" t="s">
        <v>7</v>
      </c>
      <c r="G1" s="9" t="s">
        <v>75</v>
      </c>
      <c r="H1" s="9" t="s">
        <v>77</v>
      </c>
      <c r="I1" s="41" t="s">
        <v>72</v>
      </c>
      <c r="J1" s="85" t="s">
        <v>71</v>
      </c>
      <c r="K1" s="41" t="s">
        <v>28</v>
      </c>
      <c r="L1" s="30" t="s">
        <v>70</v>
      </c>
      <c r="M1" s="30" t="s">
        <v>69</v>
      </c>
      <c r="N1" s="30" t="s">
        <v>67</v>
      </c>
      <c r="O1" s="40" t="s">
        <v>68</v>
      </c>
      <c r="P1" s="42" t="s">
        <v>41</v>
      </c>
      <c r="Q1" s="30" t="s">
        <v>8</v>
      </c>
      <c r="R1" s="30" t="s">
        <v>9</v>
      </c>
      <c r="S1" s="43" t="s">
        <v>35</v>
      </c>
      <c r="T1" s="41" t="s">
        <v>2</v>
      </c>
      <c r="U1" s="43" t="s">
        <v>3</v>
      </c>
      <c r="V1" s="42" t="s">
        <v>37</v>
      </c>
      <c r="W1" s="30" t="s">
        <v>54</v>
      </c>
      <c r="X1" s="43" t="s">
        <v>21</v>
      </c>
      <c r="Y1" s="41" t="s">
        <v>36</v>
      </c>
      <c r="Z1" s="30" t="s">
        <v>23</v>
      </c>
      <c r="AA1" s="30" t="s">
        <v>53</v>
      </c>
      <c r="AB1" s="14" t="s">
        <v>46</v>
      </c>
    </row>
    <row r="2" spans="1:28" ht="15.75" thickTop="1" x14ac:dyDescent="0.25">
      <c r="D2" s="114" t="s">
        <v>57</v>
      </c>
      <c r="E2" s="115">
        <v>10</v>
      </c>
      <c r="T2" t="s">
        <v>82</v>
      </c>
    </row>
    <row r="4" spans="1:28" x14ac:dyDescent="0.25">
      <c r="A4" s="116">
        <f>DVAR('Drive Table'!$A$2:$AC$125,"Cost",$A$1:$AB$2)</f>
        <v>1259.711764285714</v>
      </c>
      <c r="B4" t="s">
        <v>87</v>
      </c>
    </row>
    <row r="5" spans="1:28" x14ac:dyDescent="0.25">
      <c r="A5" s="116">
        <f>DAVERAGE('Drive Table'!$A$2:$AC$125,"Cost",$A$1:$AB$2)</f>
        <v>388.83750000000003</v>
      </c>
      <c r="B5" t="s">
        <v>83</v>
      </c>
    </row>
    <row r="6" spans="1:28" x14ac:dyDescent="0.25">
      <c r="A6" s="116">
        <f>DMIN('Drive Table'!$A$2:$AC$125,"Cost",$A$1:$AB$2)</f>
        <v>349.99</v>
      </c>
      <c r="B6" t="s">
        <v>84</v>
      </c>
    </row>
    <row r="7" spans="1:28" x14ac:dyDescent="0.25">
      <c r="A7" s="116">
        <f>DMAX('Drive Table'!$A$2:$AC$125,"Cost",$A$1:$AB$2)</f>
        <v>440.77</v>
      </c>
      <c r="B7" t="s">
        <v>85</v>
      </c>
    </row>
    <row r="8" spans="1:28" x14ac:dyDescent="0.25">
      <c r="A8">
        <f>DCOUNTA('Drive Table'!$A$2:$AC$125,"Cost",$A$1:$AB$2)</f>
        <v>8</v>
      </c>
      <c r="B8" t="s">
        <v>86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11</vt:i4>
      </vt:variant>
    </vt:vector>
  </HeadingPairs>
  <TitlesOfParts>
    <vt:vector size="15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Hours_In_Day</vt:lpstr>
      <vt:lpstr>Hours_In_Month</vt:lpstr>
      <vt:lpstr>Incremental_Warr_Yr</vt:lpstr>
      <vt:lpstr>Months_In_Year</vt:lpstr>
      <vt:lpstr>Power_On_Hours_Year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Disk Price Analysis</dc:title>
  <dc:creator/>
  <dc:description>(c) 2017 - All Right Reserved</dc:description>
  <cp:lastModifiedBy/>
  <dcterms:created xsi:type="dcterms:W3CDTF">2017-03-24T23:12:53Z</dcterms:created>
  <dcterms:modified xsi:type="dcterms:W3CDTF">2017-10-13T22:01:21Z</dcterms:modified>
</cp:coreProperties>
</file>