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filterPrivacy="1" showInkAnnotation="0" showPivotChartFilter="1"/>
  <bookViews>
    <workbookView xWindow="0" yWindow="0" windowWidth="21570" windowHeight="8595"/>
  </bookViews>
  <sheets>
    <sheet name="Drive Table" sheetId="1" r:id="rId1"/>
    <sheet name="Tables" sheetId="4" r:id="rId2"/>
    <sheet name="Charts" sheetId="2" r:id="rId3"/>
    <sheet name="Database" sheetId="3" r:id="rId4"/>
  </sheets>
  <definedNames>
    <definedName name="Active_Duty_Cycle">'Drive Table'!$D$133</definedName>
    <definedName name="CompareWarrYrs">'Drive Table'!$D$134</definedName>
    <definedName name="CostPerKWH">'Drive Table'!$D$132</definedName>
    <definedName name="Day_in_Year">'Drive Table'!$D$140</definedName>
    <definedName name="Days_In_Month">'Drive Table'!$D$139</definedName>
    <definedName name="Days_in_Year">'Drive Table'!$D$140</definedName>
    <definedName name="Hours_In_Day">'Drive Table'!$D$137</definedName>
    <definedName name="Hours_In_Month">'Drive Table'!$D$138</definedName>
    <definedName name="Incremental_Warr_Yr">'Drive Table'!$D$135</definedName>
    <definedName name="Months_In_Year">'Drive Table'!$D$141</definedName>
    <definedName name="Power_On_Hours_Year">'Drive Table'!$D$136</definedName>
  </definedNames>
  <calcPr calcId="125725"/>
  <pivotCaches>
    <pivotCache cacheId="5" r:id="rId5"/>
  </pivotCaches>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T88" i="1"/>
  <c r="U86"/>
  <c r="V83"/>
  <c r="W83" s="1"/>
  <c r="X83" s="1"/>
  <c r="U83"/>
  <c r="O83"/>
  <c r="I83"/>
  <c r="T4"/>
  <c r="V16"/>
  <c r="W16" s="1"/>
  <c r="X16" s="1"/>
  <c r="U16"/>
  <c r="I16"/>
  <c r="V7" l="1"/>
  <c r="W7" s="1"/>
  <c r="X7" s="1"/>
  <c r="U7"/>
  <c r="I7"/>
  <c r="V114" l="1"/>
  <c r="W114" s="1"/>
  <c r="X114" s="1"/>
  <c r="U114"/>
  <c r="O114"/>
  <c r="I114"/>
  <c r="O23" l="1"/>
  <c r="O24"/>
  <c r="O25"/>
  <c r="O26"/>
  <c r="G124" l="1"/>
  <c r="T62" l="1"/>
  <c r="T61"/>
  <c r="T60"/>
  <c r="A135"/>
  <c r="N123"/>
  <c r="T43"/>
  <c r="T46"/>
  <c r="T92"/>
  <c r="V105"/>
  <c r="W105" s="1"/>
  <c r="X105" s="1"/>
  <c r="U105"/>
  <c r="I105"/>
  <c r="V17"/>
  <c r="W17" s="1"/>
  <c r="X17" s="1"/>
  <c r="U17"/>
  <c r="I17"/>
  <c r="N126"/>
  <c r="H125"/>
  <c r="H126"/>
  <c r="H124"/>
  <c r="H123"/>
  <c r="H127"/>
  <c r="V14"/>
  <c r="W14" s="1"/>
  <c r="X14" s="1"/>
  <c r="U14"/>
  <c r="I14"/>
  <c r="V18"/>
  <c r="W18" s="1"/>
  <c r="X18" s="1"/>
  <c r="U18"/>
  <c r="I18"/>
  <c r="I19"/>
  <c r="U19"/>
  <c r="V19"/>
  <c r="W19" s="1"/>
  <c r="X19" s="1"/>
  <c r="A5" i="3" l="1"/>
  <c r="A6"/>
  <c r="A7"/>
  <c r="A4"/>
  <c r="A8"/>
  <c r="N125" i="1"/>
  <c r="P36"/>
  <c r="P37"/>
  <c r="O27"/>
  <c r="O28"/>
  <c r="O29"/>
  <c r="O30"/>
  <c r="O31"/>
  <c r="P24"/>
  <c r="P25"/>
  <c r="P60"/>
  <c r="P61"/>
  <c r="P62"/>
  <c r="O58"/>
  <c r="O59"/>
  <c r="O60"/>
  <c r="O57"/>
  <c r="V79" l="1"/>
  <c r="W79" s="1"/>
  <c r="X79" s="1"/>
  <c r="U79"/>
  <c r="I79"/>
  <c r="V82"/>
  <c r="W82" s="1"/>
  <c r="X82" s="1"/>
  <c r="U82"/>
  <c r="I82"/>
  <c r="V81"/>
  <c r="W81" s="1"/>
  <c r="X81" s="1"/>
  <c r="U81"/>
  <c r="I81"/>
  <c r="V80"/>
  <c r="W80" s="1"/>
  <c r="X80" s="1"/>
  <c r="U80"/>
  <c r="I80"/>
  <c r="G127" l="1"/>
  <c r="G126"/>
  <c r="G125"/>
  <c r="G123"/>
  <c r="V47" l="1"/>
  <c r="W47" s="1"/>
  <c r="X47" s="1"/>
  <c r="U47"/>
  <c r="I47"/>
  <c r="V6" l="1"/>
  <c r="W6" s="1"/>
  <c r="X6" s="1"/>
  <c r="U6"/>
  <c r="P6"/>
  <c r="O6"/>
  <c r="I6"/>
  <c r="O5"/>
  <c r="O4"/>
  <c r="O3"/>
  <c r="O71" l="1"/>
  <c r="O72"/>
  <c r="O70"/>
  <c r="M126"/>
  <c r="M125"/>
  <c r="M124"/>
  <c r="M123"/>
  <c r="L126"/>
  <c r="L125"/>
  <c r="L124"/>
  <c r="L123"/>
  <c r="K126"/>
  <c r="K125"/>
  <c r="K124"/>
  <c r="K123"/>
  <c r="J126"/>
  <c r="J125"/>
  <c r="J124"/>
  <c r="J123"/>
  <c r="E127"/>
  <c r="E126"/>
  <c r="E125"/>
  <c r="E124"/>
  <c r="E123"/>
  <c r="A132"/>
  <c r="O22"/>
  <c r="O21"/>
  <c r="O20"/>
  <c r="P52"/>
  <c r="P51"/>
  <c r="P49"/>
  <c r="P50"/>
  <c r="V50"/>
  <c r="W50" s="1"/>
  <c r="X50" s="1"/>
  <c r="U50"/>
  <c r="I50"/>
  <c r="P90"/>
  <c r="O90"/>
  <c r="V90"/>
  <c r="W90" s="1"/>
  <c r="X90" s="1"/>
  <c r="U90"/>
  <c r="I90"/>
  <c r="O88"/>
  <c r="O87"/>
  <c r="O86"/>
  <c r="O85"/>
  <c r="O84"/>
  <c r="O97"/>
  <c r="O98"/>
  <c r="O96"/>
  <c r="O95"/>
  <c r="O94"/>
  <c r="O93"/>
  <c r="O92"/>
  <c r="O91"/>
  <c r="J127"/>
  <c r="V115"/>
  <c r="W115" s="1"/>
  <c r="X115" s="1"/>
  <c r="U115"/>
  <c r="O115"/>
  <c r="I115"/>
  <c r="O107"/>
  <c r="O108"/>
  <c r="O109"/>
  <c r="O110"/>
  <c r="O111"/>
  <c r="O112"/>
  <c r="O113"/>
  <c r="O106"/>
  <c r="L127"/>
  <c r="M127"/>
  <c r="N127"/>
  <c r="N124"/>
  <c r="V49"/>
  <c r="W49" s="1"/>
  <c r="X49" s="1"/>
  <c r="U49"/>
  <c r="I49"/>
  <c r="D139"/>
  <c r="D138" s="1"/>
  <c r="D136"/>
  <c r="Z83" s="1"/>
  <c r="AA83" s="1"/>
  <c r="V98"/>
  <c r="W98" s="1"/>
  <c r="X98" s="1"/>
  <c r="U98"/>
  <c r="I98"/>
  <c r="V97"/>
  <c r="W97" s="1"/>
  <c r="X97" s="1"/>
  <c r="U97"/>
  <c r="I97"/>
  <c r="P92"/>
  <c r="P93"/>
  <c r="P94"/>
  <c r="P95"/>
  <c r="P96"/>
  <c r="P108"/>
  <c r="P118"/>
  <c r="P120"/>
  <c r="P121"/>
  <c r="P122"/>
  <c r="V121"/>
  <c r="W121" s="1"/>
  <c r="X121" s="1"/>
  <c r="U121"/>
  <c r="I121"/>
  <c r="P109"/>
  <c r="P111"/>
  <c r="P112"/>
  <c r="P113"/>
  <c r="Z114" l="1"/>
  <c r="AA114" s="1"/>
  <c r="Z16"/>
  <c r="AA16" s="1"/>
  <c r="Z17"/>
  <c r="AA17" s="1"/>
  <c r="Z105"/>
  <c r="AA105" s="1"/>
  <c r="Z14"/>
  <c r="AA14" s="1"/>
  <c r="Z19"/>
  <c r="AA19" s="1"/>
  <c r="Z42"/>
  <c r="AA42" s="1"/>
  <c r="Z18"/>
  <c r="AA18" s="1"/>
  <c r="Z97"/>
  <c r="AA97" s="1"/>
  <c r="Z47"/>
  <c r="AA47" s="1"/>
  <c r="Z48"/>
  <c r="AA48" s="1"/>
  <c r="Z49"/>
  <c r="AA49" s="1"/>
  <c r="Z50"/>
  <c r="AA50" s="1"/>
  <c r="Z90"/>
  <c r="AA90" s="1"/>
  <c r="Z115"/>
  <c r="AA115" s="1"/>
  <c r="O123"/>
  <c r="O127"/>
  <c r="O126"/>
  <c r="O125"/>
  <c r="O124"/>
  <c r="Z121"/>
  <c r="AA121" s="1"/>
  <c r="Z92"/>
  <c r="AA92" s="1"/>
  <c r="Z98"/>
  <c r="AA98" s="1"/>
  <c r="Z93"/>
  <c r="AA93" s="1"/>
  <c r="Z113"/>
  <c r="AA113" s="1"/>
  <c r="Z94"/>
  <c r="AA94" s="1"/>
  <c r="Z95"/>
  <c r="AA95" s="1"/>
  <c r="Z96"/>
  <c r="AA96" s="1"/>
  <c r="V113"/>
  <c r="W113" s="1"/>
  <c r="X113" s="1"/>
  <c r="U113"/>
  <c r="I113"/>
  <c r="V78" l="1"/>
  <c r="W78" s="1"/>
  <c r="X78" s="1"/>
  <c r="U78"/>
  <c r="I78"/>
  <c r="V77"/>
  <c r="W77" s="1"/>
  <c r="X77" s="1"/>
  <c r="U77"/>
  <c r="I77"/>
  <c r="V76"/>
  <c r="W76" s="1"/>
  <c r="X76" s="1"/>
  <c r="U76"/>
  <c r="I76"/>
  <c r="V73"/>
  <c r="W73" s="1"/>
  <c r="X73" s="1"/>
  <c r="U73"/>
  <c r="I73"/>
  <c r="V74"/>
  <c r="W74" s="1"/>
  <c r="X74" s="1"/>
  <c r="U74"/>
  <c r="I74"/>
  <c r="V75"/>
  <c r="W75" s="1"/>
  <c r="X75" s="1"/>
  <c r="U75"/>
  <c r="I75"/>
  <c r="K127" l="1"/>
  <c r="V3" l="1"/>
  <c r="V4"/>
  <c r="V5"/>
  <c r="V8"/>
  <c r="V9"/>
  <c r="V10"/>
  <c r="V11"/>
  <c r="V12"/>
  <c r="V13"/>
  <c r="V15"/>
  <c r="V20"/>
  <c r="V21"/>
  <c r="V23"/>
  <c r="V24"/>
  <c r="V25"/>
  <c r="V26"/>
  <c r="V27"/>
  <c r="V28"/>
  <c r="V29"/>
  <c r="V30"/>
  <c r="V31"/>
  <c r="V32"/>
  <c r="V33"/>
  <c r="V34"/>
  <c r="V35"/>
  <c r="V36"/>
  <c r="V37"/>
  <c r="V38"/>
  <c r="V39"/>
  <c r="V40"/>
  <c r="V41"/>
  <c r="V42"/>
  <c r="V43"/>
  <c r="V44"/>
  <c r="V45"/>
  <c r="V46"/>
  <c r="V48"/>
  <c r="V51"/>
  <c r="V52"/>
  <c r="V53"/>
  <c r="V54"/>
  <c r="V55"/>
  <c r="V56"/>
  <c r="V57"/>
  <c r="V58"/>
  <c r="V59"/>
  <c r="V60"/>
  <c r="V61"/>
  <c r="V63"/>
  <c r="V64"/>
  <c r="V65"/>
  <c r="V66"/>
  <c r="V67"/>
  <c r="V68"/>
  <c r="V69"/>
  <c r="V70"/>
  <c r="V71"/>
  <c r="V72"/>
  <c r="V84"/>
  <c r="V85"/>
  <c r="V86"/>
  <c r="V87"/>
  <c r="V88"/>
  <c r="V89"/>
  <c r="V91"/>
  <c r="V92"/>
  <c r="V93"/>
  <c r="V94"/>
  <c r="V95"/>
  <c r="V99"/>
  <c r="V100"/>
  <c r="V101"/>
  <c r="V102"/>
  <c r="V103"/>
  <c r="V104"/>
  <c r="V106"/>
  <c r="V107"/>
  <c r="V108"/>
  <c r="V109"/>
  <c r="V110"/>
  <c r="V111"/>
  <c r="V112"/>
  <c r="V116"/>
  <c r="V117"/>
  <c r="V118"/>
  <c r="V119"/>
  <c r="V120"/>
  <c r="Z9" l="1"/>
  <c r="Z119"/>
  <c r="Z112"/>
  <c r="Z108"/>
  <c r="Z103"/>
  <c r="Z99"/>
  <c r="Z86"/>
  <c r="Z71"/>
  <c r="Z67"/>
  <c r="Z63"/>
  <c r="Z59"/>
  <c r="Z55"/>
  <c r="Z51"/>
  <c r="Z43"/>
  <c r="Z38"/>
  <c r="Z34"/>
  <c r="Z30"/>
  <c r="AA30" s="1"/>
  <c r="Z26"/>
  <c r="Z22"/>
  <c r="Z13"/>
  <c r="Z120"/>
  <c r="Z116"/>
  <c r="Z109"/>
  <c r="Z104"/>
  <c r="Z100"/>
  <c r="Z68"/>
  <c r="Z60"/>
  <c r="Z52"/>
  <c r="Z39"/>
  <c r="Z31"/>
  <c r="AA31" s="1"/>
  <c r="Z15"/>
  <c r="Z118"/>
  <c r="Z111"/>
  <c r="Z107"/>
  <c r="Z102"/>
  <c r="Z89"/>
  <c r="Z85"/>
  <c r="Z70"/>
  <c r="Z66"/>
  <c r="Z62"/>
  <c r="Z58"/>
  <c r="Z54"/>
  <c r="Z46"/>
  <c r="Z41"/>
  <c r="Z37"/>
  <c r="Z33"/>
  <c r="Z29"/>
  <c r="AA29" s="1"/>
  <c r="Z25"/>
  <c r="Z21"/>
  <c r="Z12"/>
  <c r="Z87"/>
  <c r="Z72"/>
  <c r="Z64"/>
  <c r="Z56"/>
  <c r="Z44"/>
  <c r="Z35"/>
  <c r="Z27"/>
  <c r="AA27" s="1"/>
  <c r="Z23"/>
  <c r="Z10"/>
  <c r="Z122"/>
  <c r="Z117"/>
  <c r="Z110"/>
  <c r="Z106"/>
  <c r="Z101"/>
  <c r="Z88"/>
  <c r="Z84"/>
  <c r="Z69"/>
  <c r="Z65"/>
  <c r="Z61"/>
  <c r="Z57"/>
  <c r="Z53"/>
  <c r="Z45"/>
  <c r="Z40"/>
  <c r="Z36"/>
  <c r="Z32"/>
  <c r="AA32" s="1"/>
  <c r="Z28"/>
  <c r="AA28" s="1"/>
  <c r="Z24"/>
  <c r="Z20"/>
  <c r="Z11"/>
  <c r="P28"/>
  <c r="P27"/>
  <c r="P31"/>
  <c r="P30"/>
  <c r="P29"/>
  <c r="W31"/>
  <c r="X31" s="1"/>
  <c r="U31"/>
  <c r="I31"/>
  <c r="W30"/>
  <c r="X30" s="1"/>
  <c r="U30"/>
  <c r="I30"/>
  <c r="W29"/>
  <c r="X29" s="1"/>
  <c r="U29"/>
  <c r="I29"/>
  <c r="W27"/>
  <c r="X27" s="1"/>
  <c r="U27"/>
  <c r="I27"/>
  <c r="W28"/>
  <c r="X28" s="1"/>
  <c r="U28"/>
  <c r="I28"/>
  <c r="V62" l="1"/>
  <c r="R127" l="1"/>
  <c r="AA122"/>
  <c r="AA118"/>
  <c r="AA117"/>
  <c r="AA111"/>
  <c r="AA110"/>
  <c r="AA107"/>
  <c r="AA106"/>
  <c r="AA102"/>
  <c r="AA101"/>
  <c r="AA89"/>
  <c r="AA88"/>
  <c r="AA86"/>
  <c r="AA84"/>
  <c r="AA71"/>
  <c r="AA69"/>
  <c r="AA67"/>
  <c r="AA66"/>
  <c r="AA65"/>
  <c r="AA63"/>
  <c r="AA61"/>
  <c r="AA59"/>
  <c r="AA58"/>
  <c r="AA57"/>
  <c r="AA55"/>
  <c r="AA53"/>
  <c r="AA46"/>
  <c r="AA45"/>
  <c r="AA43"/>
  <c r="AA40"/>
  <c r="AA38"/>
  <c r="AA37"/>
  <c r="AA36"/>
  <c r="AA34"/>
  <c r="AA26"/>
  <c r="AA25"/>
  <c r="AA24"/>
  <c r="AA23"/>
  <c r="AA22"/>
  <c r="AA21"/>
  <c r="AA15"/>
  <c r="AA11"/>
  <c r="AA9"/>
  <c r="I3"/>
  <c r="I4"/>
  <c r="I5"/>
  <c r="I8"/>
  <c r="I9"/>
  <c r="I10"/>
  <c r="I11"/>
  <c r="I12"/>
  <c r="I13"/>
  <c r="I15"/>
  <c r="I20"/>
  <c r="I21"/>
  <c r="I22"/>
  <c r="I23"/>
  <c r="I24"/>
  <c r="I25"/>
  <c r="I26"/>
  <c r="I32"/>
  <c r="I33"/>
  <c r="I34"/>
  <c r="I35"/>
  <c r="I36"/>
  <c r="I37"/>
  <c r="I38"/>
  <c r="I39"/>
  <c r="I40"/>
  <c r="I41"/>
  <c r="I42"/>
  <c r="I43"/>
  <c r="I44"/>
  <c r="I45"/>
  <c r="I46"/>
  <c r="I48"/>
  <c r="I51"/>
  <c r="I52"/>
  <c r="I53"/>
  <c r="I54"/>
  <c r="I55"/>
  <c r="I56"/>
  <c r="I57"/>
  <c r="I58"/>
  <c r="I59"/>
  <c r="I60"/>
  <c r="I61"/>
  <c r="I62"/>
  <c r="I63"/>
  <c r="I64"/>
  <c r="I65"/>
  <c r="I66"/>
  <c r="I67"/>
  <c r="I68"/>
  <c r="I69"/>
  <c r="I70"/>
  <c r="I71"/>
  <c r="I72"/>
  <c r="I84"/>
  <c r="I85"/>
  <c r="I86"/>
  <c r="I87"/>
  <c r="I88"/>
  <c r="I89"/>
  <c r="I91"/>
  <c r="I92"/>
  <c r="I93"/>
  <c r="I94"/>
  <c r="I95"/>
  <c r="I96"/>
  <c r="I99"/>
  <c r="I100"/>
  <c r="I101"/>
  <c r="I102"/>
  <c r="I103"/>
  <c r="I104"/>
  <c r="I106"/>
  <c r="I107"/>
  <c r="I108"/>
  <c r="I109"/>
  <c r="I110"/>
  <c r="I111"/>
  <c r="I112"/>
  <c r="I116"/>
  <c r="I117"/>
  <c r="I118"/>
  <c r="I119"/>
  <c r="I120"/>
  <c r="I122"/>
  <c r="W3"/>
  <c r="X3" s="1"/>
  <c r="W4"/>
  <c r="X4" s="1"/>
  <c r="W5"/>
  <c r="X5" s="1"/>
  <c r="W8"/>
  <c r="X8" s="1"/>
  <c r="W9"/>
  <c r="X9" s="1"/>
  <c r="W10"/>
  <c r="X10" s="1"/>
  <c r="W11"/>
  <c r="X11" s="1"/>
  <c r="W12"/>
  <c r="X12" s="1"/>
  <c r="W13"/>
  <c r="X13" s="1"/>
  <c r="W15"/>
  <c r="X15" s="1"/>
  <c r="W20"/>
  <c r="X20" s="1"/>
  <c r="W21"/>
  <c r="X21" s="1"/>
  <c r="W23"/>
  <c r="X23" s="1"/>
  <c r="W24"/>
  <c r="X24" s="1"/>
  <c r="W25"/>
  <c r="X25" s="1"/>
  <c r="W26"/>
  <c r="X26" s="1"/>
  <c r="W32"/>
  <c r="X32" s="1"/>
  <c r="W33"/>
  <c r="X33" s="1"/>
  <c r="W34"/>
  <c r="X34" s="1"/>
  <c r="W35"/>
  <c r="X35" s="1"/>
  <c r="W36"/>
  <c r="X36" s="1"/>
  <c r="W37"/>
  <c r="X37" s="1"/>
  <c r="W38"/>
  <c r="X38" s="1"/>
  <c r="W39"/>
  <c r="X39" s="1"/>
  <c r="W40"/>
  <c r="X40" s="1"/>
  <c r="W41"/>
  <c r="X41" s="1"/>
  <c r="W42"/>
  <c r="X42" s="1"/>
  <c r="W43"/>
  <c r="X43" s="1"/>
  <c r="W44"/>
  <c r="X44" s="1"/>
  <c r="W45"/>
  <c r="X45" s="1"/>
  <c r="W46"/>
  <c r="X46" s="1"/>
  <c r="W48"/>
  <c r="X48" s="1"/>
  <c r="W51"/>
  <c r="X51" s="1"/>
  <c r="W52"/>
  <c r="X52" s="1"/>
  <c r="W53"/>
  <c r="X53" s="1"/>
  <c r="W54"/>
  <c r="X54" s="1"/>
  <c r="W55"/>
  <c r="X55" s="1"/>
  <c r="W56"/>
  <c r="X56" s="1"/>
  <c r="W57"/>
  <c r="X57" s="1"/>
  <c r="W58"/>
  <c r="X58" s="1"/>
  <c r="W59"/>
  <c r="X59" s="1"/>
  <c r="W60"/>
  <c r="X60" s="1"/>
  <c r="W61"/>
  <c r="X61" s="1"/>
  <c r="W62"/>
  <c r="X62" s="1"/>
  <c r="W63"/>
  <c r="X63" s="1"/>
  <c r="W64"/>
  <c r="X64" s="1"/>
  <c r="W65"/>
  <c r="X65" s="1"/>
  <c r="W66"/>
  <c r="X66" s="1"/>
  <c r="W67"/>
  <c r="X67" s="1"/>
  <c r="W68"/>
  <c r="X68" s="1"/>
  <c r="W69"/>
  <c r="X69" s="1"/>
  <c r="W70"/>
  <c r="X70" s="1"/>
  <c r="W71"/>
  <c r="X71" s="1"/>
  <c r="W72"/>
  <c r="X72" s="1"/>
  <c r="W84"/>
  <c r="X84" s="1"/>
  <c r="W85"/>
  <c r="X85" s="1"/>
  <c r="W86"/>
  <c r="X86" s="1"/>
  <c r="W87"/>
  <c r="X87" s="1"/>
  <c r="W88"/>
  <c r="X88" s="1"/>
  <c r="W89"/>
  <c r="X89" s="1"/>
  <c r="W91"/>
  <c r="X91" s="1"/>
  <c r="W92"/>
  <c r="X92" s="1"/>
  <c r="W93"/>
  <c r="X93" s="1"/>
  <c r="W94"/>
  <c r="X94" s="1"/>
  <c r="W95"/>
  <c r="X95" s="1"/>
  <c r="W99"/>
  <c r="X99" s="1"/>
  <c r="W100"/>
  <c r="X100" s="1"/>
  <c r="W101"/>
  <c r="X101" s="1"/>
  <c r="W102"/>
  <c r="X102" s="1"/>
  <c r="W103"/>
  <c r="X103" s="1"/>
  <c r="W104"/>
  <c r="X104" s="1"/>
  <c r="W106"/>
  <c r="X106" s="1"/>
  <c r="W107"/>
  <c r="X107" s="1"/>
  <c r="W108"/>
  <c r="X108" s="1"/>
  <c r="W109"/>
  <c r="X109" s="1"/>
  <c r="W110"/>
  <c r="X110" s="1"/>
  <c r="W111"/>
  <c r="X111" s="1"/>
  <c r="W112"/>
  <c r="X112" s="1"/>
  <c r="W116"/>
  <c r="X116" s="1"/>
  <c r="W117"/>
  <c r="X117" s="1"/>
  <c r="W118"/>
  <c r="X118" s="1"/>
  <c r="W119"/>
  <c r="X119" s="1"/>
  <c r="W120"/>
  <c r="X120" s="1"/>
  <c r="U3"/>
  <c r="U4"/>
  <c r="U5"/>
  <c r="U8"/>
  <c r="U9"/>
  <c r="U10"/>
  <c r="U11"/>
  <c r="U12"/>
  <c r="U13"/>
  <c r="U15"/>
  <c r="U20"/>
  <c r="U21"/>
  <c r="U23"/>
  <c r="U24"/>
  <c r="U25"/>
  <c r="U26"/>
  <c r="U32"/>
  <c r="U33"/>
  <c r="U34"/>
  <c r="U35"/>
  <c r="U36"/>
  <c r="U37"/>
  <c r="U38"/>
  <c r="U39"/>
  <c r="U40"/>
  <c r="U41"/>
  <c r="U42"/>
  <c r="U43"/>
  <c r="U44"/>
  <c r="U45"/>
  <c r="U46"/>
  <c r="U48"/>
  <c r="U51"/>
  <c r="U52"/>
  <c r="U53"/>
  <c r="U54"/>
  <c r="U55"/>
  <c r="U56"/>
  <c r="U57"/>
  <c r="U58"/>
  <c r="U59"/>
  <c r="U60"/>
  <c r="U61"/>
  <c r="U62"/>
  <c r="U63"/>
  <c r="U64"/>
  <c r="U65"/>
  <c r="U66"/>
  <c r="U67"/>
  <c r="U68"/>
  <c r="U69"/>
  <c r="U70"/>
  <c r="U71"/>
  <c r="U72"/>
  <c r="U84"/>
  <c r="U85"/>
  <c r="U87"/>
  <c r="U88"/>
  <c r="U89"/>
  <c r="U91"/>
  <c r="U92"/>
  <c r="U93"/>
  <c r="U94"/>
  <c r="U95"/>
  <c r="U99"/>
  <c r="U100"/>
  <c r="U101"/>
  <c r="U102"/>
  <c r="U103"/>
  <c r="U104"/>
  <c r="U106"/>
  <c r="U107"/>
  <c r="U108"/>
  <c r="U109"/>
  <c r="U110"/>
  <c r="U111"/>
  <c r="U112"/>
  <c r="U116"/>
  <c r="U117"/>
  <c r="U118"/>
  <c r="U119"/>
  <c r="U120"/>
  <c r="AA10"/>
  <c r="AA13"/>
  <c r="AA20"/>
  <c r="AA33"/>
  <c r="AA35"/>
  <c r="AA39"/>
  <c r="AA41"/>
  <c r="AA44"/>
  <c r="AA51"/>
  <c r="AA52"/>
  <c r="AA54"/>
  <c r="AA56"/>
  <c r="AA60"/>
  <c r="AA62"/>
  <c r="AA64"/>
  <c r="AA68"/>
  <c r="AA70"/>
  <c r="AA72"/>
  <c r="AA85"/>
  <c r="AA87"/>
  <c r="AA99"/>
  <c r="AA100"/>
  <c r="AA103"/>
  <c r="AA104"/>
  <c r="AA108"/>
  <c r="AA109"/>
  <c r="AA112"/>
  <c r="AA116"/>
  <c r="AA119"/>
  <c r="AA120"/>
  <c r="AA12" l="1"/>
  <c r="AA124" s="1"/>
  <c r="S40"/>
  <c r="S41"/>
  <c r="S39"/>
  <c r="P39"/>
  <c r="P40"/>
  <c r="P41"/>
  <c r="P38"/>
  <c r="AA125" l="1"/>
  <c r="S127"/>
  <c r="AA123"/>
  <c r="AA127"/>
  <c r="AA126"/>
  <c r="P57" l="1"/>
  <c r="V122" l="1"/>
  <c r="T22"/>
  <c r="V22" s="1"/>
  <c r="U22" l="1"/>
  <c r="W22"/>
  <c r="X22" s="1"/>
  <c r="W122"/>
  <c r="X122" s="1"/>
  <c r="U122"/>
  <c r="P34"/>
  <c r="Q127" l="1"/>
  <c r="P3" l="1"/>
  <c r="P4"/>
  <c r="P5"/>
  <c r="P67"/>
  <c r="P66"/>
  <c r="P65"/>
  <c r="P64"/>
  <c r="P58"/>
  <c r="P59"/>
  <c r="P63"/>
  <c r="P119"/>
  <c r="P116"/>
  <c r="P117"/>
  <c r="P110"/>
  <c r="P107"/>
  <c r="P106"/>
  <c r="P124" l="1"/>
  <c r="P125"/>
  <c r="P123"/>
  <c r="P126"/>
  <c r="P127"/>
  <c r="V96" l="1"/>
  <c r="W96" l="1"/>
  <c r="X96" s="1"/>
  <c r="U96"/>
  <c r="U127" s="1"/>
  <c r="R125"/>
  <c r="S125"/>
  <c r="Q125"/>
  <c r="R126"/>
  <c r="S126"/>
  <c r="R123"/>
  <c r="S123"/>
  <c r="Q126"/>
  <c r="Q123"/>
  <c r="X127" l="1"/>
  <c r="W127"/>
  <c r="W125"/>
  <c r="W123"/>
  <c r="W126"/>
  <c r="W124"/>
  <c r="S124"/>
  <c r="R124"/>
  <c r="Q124"/>
  <c r="X125" l="1"/>
  <c r="X124"/>
  <c r="X126"/>
  <c r="X123"/>
  <c r="Z127" l="1"/>
  <c r="Z125"/>
  <c r="Z124"/>
  <c r="Z126"/>
  <c r="Z123"/>
  <c r="U125" l="1"/>
  <c r="U123"/>
  <c r="U126"/>
  <c r="U124"/>
</calcChain>
</file>

<file path=xl/comments1.xml><?xml version="1.0" encoding="utf-8"?>
<comments xmlns="http://schemas.openxmlformats.org/spreadsheetml/2006/main">
  <authors>
    <author>Author</author>
  </authors>
  <commentList>
    <comment ref="V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Z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32" authorId="0">
      <text>
        <r>
          <rPr>
            <b/>
            <sz val="9"/>
            <color indexed="81"/>
            <rFont val="Tahoma"/>
            <family val="2"/>
          </rPr>
          <t>Enter price per KW hour</t>
        </r>
        <r>
          <rPr>
            <sz val="9"/>
            <color indexed="81"/>
            <rFont val="Tahoma"/>
            <family val="2"/>
          </rPr>
          <t xml:space="preserve">
</t>
        </r>
      </text>
    </comment>
    <comment ref="D133"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34"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35"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<sst xmlns="http://schemas.openxmlformats.org/spreadsheetml/2006/main" count="430" uniqueCount="116">
  <si>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</si>
  <si>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</si>
  <si>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</si>
  <si>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</si>
  <si>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</si>
  <si>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</si>
  <si>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</si>
  <si>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</si>
  <si>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</si>
  <si>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</si>
  <si>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</si>
  <si>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</si>
  <si>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</si>
  <si>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</si>
  <si>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</si>
  <si>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</si>
  <si>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</si>
  <si>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</si>
  <si>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</si>
  <si>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</si>
  <si>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Archive</t>
  </si>
  <si>
    <t>$ TB/year</t>
  </si>
  <si>
    <t>WORK IN PROGRESS</t>
  </si>
  <si>
    <t>Energy$year</t>
  </si>
  <si>
    <t>MEDIAN</t>
  </si>
  <si>
    <t>MIN</t>
  </si>
  <si>
    <t>MAX</t>
  </si>
  <si>
    <t>Most Recent Update</t>
  </si>
  <si>
    <t>Warnty</t>
  </si>
  <si>
    <t>SizTB</t>
  </si>
  <si>
    <t>Ultrastar 7K6</t>
  </si>
  <si>
    <t>Blue</t>
  </si>
  <si>
    <t>Active Duty Cycle</t>
  </si>
  <si>
    <t>Power On Hours Year</t>
  </si>
  <si>
    <t>TBD</t>
  </si>
  <si>
    <t>WattsStandby</t>
  </si>
  <si>
    <t>Comp $/Perf/Size</t>
  </si>
  <si>
    <t>$+Warr</t>
  </si>
  <si>
    <t>Actual</t>
  </si>
  <si>
    <t>CompareWarrYrs</t>
  </si>
  <si>
    <t>AVG</t>
  </si>
  <si>
    <t>MaxStartupWatts</t>
  </si>
  <si>
    <t>Warranty_Normalized_Computed</t>
  </si>
  <si>
    <t>Helium filled</t>
  </si>
  <si>
    <t>COUNT</t>
  </si>
  <si>
    <t>Ultrastar C10K1800 2.5"</t>
  </si>
  <si>
    <t>See http://hdd.userbenchmark.com for disk drive comparisons</t>
  </si>
  <si>
    <t>Notes</t>
  </si>
  <si>
    <t>Toshiba</t>
  </si>
  <si>
    <t>N300</t>
  </si>
  <si>
    <t>FireCuda SSHD</t>
  </si>
  <si>
    <t>8GiB NAND</t>
  </si>
  <si>
    <t>FireCuda SSHD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</si>
  <si>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</si>
  <si>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</si>
  <si>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</si>
  <si>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</si>
  <si>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</si>
  <si>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</si>
  <si>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</si>
  <si>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</si>
  <si>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</si>
  <si>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</si>
  <si>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</si>
  <si>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</si>
  <si>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</si>
  <si>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</si>
  <si>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</si>
  <si>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</si>
  <si>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</si>
  <si>
    <t>Gold Enterprise</t>
  </si>
  <si>
    <t>MTBF</t>
  </si>
  <si>
    <t>RErrRate</t>
  </si>
  <si>
    <t>WorkLoad</t>
  </si>
  <si>
    <t>CycleCnt</t>
  </si>
  <si>
    <t>XferRate</t>
  </si>
  <si>
    <t>Red NAS 2.5"</t>
  </si>
  <si>
    <t>Black 2.5"</t>
  </si>
  <si>
    <t>PerfCmp</t>
  </si>
  <si>
    <t>Shingled Magnetic Recording</t>
  </si>
  <si>
    <t>Enterprise Capacity 2.5"</t>
  </si>
  <si>
    <t>Enterprise Capacity He v7</t>
  </si>
  <si>
    <t>Enterprise Capacity v5</t>
  </si>
  <si>
    <t>AvgLatency</t>
  </si>
  <si>
    <t>X300</t>
  </si>
  <si>
    <t>Ultrastar C15K600 2.5"</t>
  </si>
  <si>
    <t>SeekT</t>
  </si>
  <si>
    <t>PERFORMANCE</t>
  </si>
  <si>
    <t>Oldest Update</t>
  </si>
  <si>
    <t>POWER USAGE</t>
  </si>
  <si>
    <t>X GiB NAND Cache</t>
  </si>
  <si>
    <t>&gt;100</t>
  </si>
  <si>
    <t>Avg</t>
  </si>
  <si>
    <t>Min</t>
  </si>
  <si>
    <t>Max</t>
  </si>
  <si>
    <t>Qty</t>
  </si>
  <si>
    <t>Mean</t>
  </si>
  <si>
    <t xml:space="preserve"> </t>
  </si>
  <si>
    <t>Row Labels</t>
  </si>
  <si>
    <t>Average of $ TB</t>
  </si>
  <si>
    <t>owned by WD</t>
  </si>
  <si>
    <t>Travelstar 7K100 2.5"</t>
  </si>
  <si>
    <t>Travelstar 5K100 2.5"</t>
  </si>
  <si>
    <r>
      <t>Ultrastar He</t>
    </r>
    <r>
      <rPr>
        <vertAlign val="superscript"/>
        <sz val="11"/>
        <color theme="1"/>
        <rFont val="Calibri"/>
        <family val="2"/>
        <scheme val="minor"/>
      </rPr>
      <t>12</t>
    </r>
  </si>
  <si>
    <r>
      <t>Ultrastar He</t>
    </r>
    <r>
      <rPr>
        <vertAlign val="superscript"/>
        <sz val="11"/>
        <color theme="1"/>
        <rFont val="Calibri"/>
        <family val="2"/>
        <scheme val="minor"/>
      </rPr>
      <t>10</t>
    </r>
  </si>
  <si>
    <r>
      <t>Ultrastar He</t>
    </r>
    <r>
      <rPr>
        <vertAlign val="superscript"/>
        <sz val="11"/>
        <color theme="1"/>
        <rFont val="Calibri"/>
        <family val="2"/>
        <scheme val="minor"/>
      </rPr>
      <t>8</t>
    </r>
  </si>
  <si>
    <r>
      <t>Ultrastar He</t>
    </r>
    <r>
      <rPr>
        <vertAlign val="superscript"/>
        <sz val="11"/>
        <color theme="1"/>
        <rFont val="Calibri"/>
        <family val="2"/>
        <scheme val="minor"/>
      </rPr>
      <t>6</t>
    </r>
  </si>
  <si>
    <r>
      <t>Ultrastar Archive Ha</t>
    </r>
    <r>
      <rPr>
        <vertAlign val="superscript"/>
        <sz val="11"/>
        <color theme="1"/>
        <rFont val="Calibri"/>
        <family val="2"/>
        <scheme val="minor"/>
      </rPr>
      <t>10</t>
    </r>
  </si>
  <si>
    <t>NAS Drives Average Price by RPM</t>
  </si>
  <si>
    <t>HGST drives are now</t>
  </si>
  <si>
    <t>Enterprise Capacity He v6</t>
  </si>
  <si>
    <t>Ae</t>
  </si>
  <si>
    <t>Average of $ TB/year</t>
  </si>
  <si>
    <t>Avg By Size</t>
  </si>
  <si>
    <t>LONGJEVITY</t>
  </si>
  <si>
    <t>NAS Drives Avg Cost By Size Per Year</t>
  </si>
</sst>
</file>

<file path=xl/styles.xml><?xml version="1.0" encoding="utf-8"?>
<styleSheet xmlns="http://schemas.openxmlformats.org/spreadsheetml/2006/main">
  <numFmts count="7">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 numFmtId="168" formatCode="0.000"/>
  </numFmts>
  <fonts count="10">
    <font>
      <sz val="11"/>
      <color theme="1"/>
      <name val="Calibri"/>
      <family val="2"/>
      <scheme val="minor"/>
    </font>
    <font>
      <b/>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vertAlign val="superscript"/>
      <sz val="11"/>
      <color theme="1"/>
      <name val="Calibri"/>
      <family val="2"/>
      <scheme val="minor"/>
    </font>
  </fonts>
  <fills count="11">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8" tint="-0.499984740745262"/>
        <bgColor indexed="64"/>
      </patternFill>
    </fill>
    <fill>
      <patternFill patternType="solid">
        <fgColor theme="4" tint="0.39997558519241921"/>
        <bgColor indexed="64"/>
      </patternFill>
    </fill>
    <fill>
      <patternFill patternType="solid">
        <fgColor rgb="FF9B06CA"/>
        <bgColor indexed="64"/>
      </patternFill>
    </fill>
  </fills>
  <borders count="67">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top style="thick">
        <color auto="1"/>
      </top>
      <bottom/>
      <diagonal/>
    </border>
    <border>
      <left style="thick">
        <color auto="1"/>
      </left>
      <right/>
      <top/>
      <bottom style="medium">
        <color theme="4" tint="0.79998168889431442"/>
      </bottom>
      <diagonal/>
    </border>
    <border>
      <left/>
      <right style="thick">
        <color auto="1"/>
      </right>
      <top style="thick">
        <color auto="1"/>
      </top>
      <bottom/>
      <diagonal/>
    </border>
    <border>
      <left/>
      <right style="thick">
        <color auto="1"/>
      </right>
      <top/>
      <bottom/>
      <diagonal/>
    </border>
    <border>
      <left/>
      <right style="thick">
        <color auto="1"/>
      </right>
      <top/>
      <bottom style="medium">
        <color theme="4" tint="0.79998168889431442"/>
      </bottom>
      <diagonal/>
    </border>
    <border>
      <left/>
      <right/>
      <top style="medium">
        <color auto="1"/>
      </top>
      <bottom style="medium">
        <color auto="1"/>
      </bottom>
      <diagonal/>
    </border>
    <border>
      <left style="medium">
        <color theme="4" tint="0.39994506668294322"/>
      </left>
      <right/>
      <top style="medium">
        <color theme="4" tint="0.79998168889431442"/>
      </top>
      <bottom style="medium">
        <color theme="4" tint="0.39994506668294322"/>
      </bottom>
      <diagonal/>
    </border>
    <border>
      <left style="medium">
        <color theme="4" tint="0.39994506668294322"/>
      </left>
      <right/>
      <top style="medium">
        <color theme="4" tint="0.39994506668294322"/>
      </top>
      <bottom style="medium">
        <color theme="4" tint="0.39994506668294322"/>
      </bottom>
      <diagonal/>
    </border>
    <border>
      <left style="medium">
        <color theme="4" tint="0.39994506668294322"/>
      </left>
      <right/>
      <top style="medium">
        <color theme="4" tint="0.39994506668294322"/>
      </top>
      <bottom style="medium">
        <color auto="1"/>
      </bottom>
      <diagonal/>
    </border>
    <border>
      <left/>
      <right style="medium">
        <color theme="4" tint="0.39994506668294322"/>
      </right>
      <top style="medium">
        <color theme="4" tint="0.79998168889431442"/>
      </top>
      <bottom style="medium">
        <color theme="4" tint="0.39994506668294322"/>
      </bottom>
      <diagonal/>
    </border>
    <border>
      <left/>
      <right style="medium">
        <color theme="4" tint="0.39994506668294322"/>
      </right>
      <top style="medium">
        <color theme="4" tint="0.39994506668294322"/>
      </top>
      <bottom style="medium">
        <color theme="4" tint="0.39994506668294322"/>
      </bottom>
      <diagonal/>
    </border>
    <border>
      <left/>
      <right style="medium">
        <color theme="4" tint="0.39994506668294322"/>
      </right>
      <top style="medium">
        <color theme="4" tint="0.39994506668294322"/>
      </top>
      <bottom style="medium">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thick">
        <color auto="1"/>
      </right>
      <top style="medium">
        <color theme="4" tint="0.79998168889431442"/>
      </top>
      <bottom style="medium">
        <color theme="4" tint="0.39994506668294322"/>
      </bottom>
      <diagonal/>
    </border>
    <border>
      <left style="thick">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thick">
        <color auto="1"/>
      </right>
      <top style="medium">
        <color theme="4" tint="0.39994506668294322"/>
      </top>
      <bottom style="medium">
        <color theme="4" tint="0.39994506668294322"/>
      </bottom>
      <diagonal/>
    </border>
    <border>
      <left style="thick">
        <color auto="1"/>
      </left>
      <right style="medium">
        <color theme="4" tint="0.39994506668294322"/>
      </right>
      <top style="medium">
        <color theme="4" tint="0.39994506668294322"/>
      </top>
      <bottom style="medium">
        <color auto="1"/>
      </bottom>
      <diagonal/>
    </border>
    <border>
      <left style="medium">
        <color theme="4" tint="0.39994506668294322"/>
      </left>
      <right style="thick">
        <color auto="1"/>
      </right>
      <top style="medium">
        <color theme="4" tint="0.39994506668294322"/>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top/>
      <bottom style="thick">
        <color auto="1"/>
      </bottom>
      <diagonal/>
    </border>
    <border>
      <left/>
      <right style="thick">
        <color auto="1"/>
      </right>
      <top/>
      <bottom style="thick">
        <color auto="1"/>
      </bottom>
      <diagonal/>
    </border>
    <border>
      <left/>
      <right style="thick">
        <color auto="1"/>
      </right>
      <top/>
      <bottom style="thick">
        <color theme="9" tint="-0.499984740745262"/>
      </bottom>
      <diagonal/>
    </border>
    <border>
      <left/>
      <right/>
      <top/>
      <bottom style="thick">
        <color theme="9" tint="-0.499984740745262"/>
      </bottom>
      <diagonal/>
    </border>
    <border>
      <left style="thick">
        <color auto="1"/>
      </left>
      <right/>
      <top/>
      <bottom style="thick">
        <color theme="9" tint="-0.499984740745262"/>
      </bottom>
      <diagonal/>
    </border>
    <border>
      <left/>
      <right style="medium">
        <color auto="1"/>
      </right>
      <top/>
      <bottom style="thick">
        <color theme="9" tint="-0.499984740745262"/>
      </bottom>
      <diagonal/>
    </border>
    <border>
      <left style="medium">
        <color auto="1"/>
      </left>
      <right/>
      <top/>
      <bottom style="thick">
        <color theme="9" tint="-0.499984740745262"/>
      </bottom>
      <diagonal/>
    </border>
    <border>
      <left style="medium">
        <color auto="1"/>
      </left>
      <right style="thick">
        <color auto="1"/>
      </right>
      <top/>
      <bottom style="thick">
        <color theme="9" tint="-0.499984740745262"/>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169">
    <xf numFmtId="0" fontId="0" fillId="0" borderId="0" xfId="0"/>
    <xf numFmtId="14"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4" xfId="0" applyNumberFormat="1" applyFill="1" applyBorder="1"/>
    <xf numFmtId="2" fontId="0" fillId="0" borderId="0" xfId="0" applyNumberFormat="1" applyBorder="1" applyAlignment="1"/>
    <xf numFmtId="0" fontId="1" fillId="2" borderId="5" xfId="0" applyFont="1" applyFill="1" applyBorder="1" applyAlignment="1">
      <alignment horizontal="center"/>
    </xf>
    <xf numFmtId="0" fontId="0" fillId="0" borderId="0" xfId="0" applyNumberFormat="1" applyBorder="1"/>
    <xf numFmtId="0" fontId="3" fillId="2" borderId="2" xfId="0" applyFont="1" applyFill="1" applyBorder="1" applyAlignment="1">
      <alignment horizontal="center"/>
    </xf>
    <xf numFmtId="0" fontId="1" fillId="4" borderId="6" xfId="0" applyFont="1" applyFill="1" applyBorder="1"/>
    <xf numFmtId="2" fontId="1" fillId="4" borderId="7" xfId="0" applyNumberFormat="1" applyFont="1" applyFill="1" applyBorder="1"/>
    <xf numFmtId="44" fontId="1" fillId="4" borderId="7" xfId="0" applyNumberFormat="1" applyFont="1" applyFill="1" applyBorder="1"/>
    <xf numFmtId="0" fontId="1" fillId="4" borderId="7" xfId="0" applyFont="1" applyFill="1" applyBorder="1"/>
    <xf numFmtId="44" fontId="1" fillId="4" borderId="8" xfId="0" applyNumberFormat="1" applyFont="1" applyFill="1" applyBorder="1"/>
    <xf numFmtId="0" fontId="1" fillId="4" borderId="9" xfId="0" applyFont="1" applyFill="1" applyBorder="1"/>
    <xf numFmtId="2" fontId="1" fillId="4" borderId="10" xfId="0" applyNumberFormat="1" applyFont="1" applyFill="1" applyBorder="1"/>
    <xf numFmtId="0" fontId="1" fillId="4" borderId="10" xfId="0" applyFont="1" applyFill="1" applyBorder="1"/>
    <xf numFmtId="44" fontId="1" fillId="4" borderId="10" xfId="0" applyNumberFormat="1" applyFont="1" applyFill="1" applyBorder="1"/>
    <xf numFmtId="44" fontId="1" fillId="4" borderId="11" xfId="0" applyNumberFormat="1" applyFont="1" applyFill="1" applyBorder="1"/>
    <xf numFmtId="0" fontId="0" fillId="4" borderId="10" xfId="0" applyFill="1" applyBorder="1"/>
    <xf numFmtId="0" fontId="1" fillId="4" borderId="12" xfId="0" applyFont="1" applyFill="1" applyBorder="1"/>
    <xf numFmtId="0" fontId="1" fillId="4" borderId="13" xfId="0" applyFont="1" applyFill="1" applyBorder="1"/>
    <xf numFmtId="0" fontId="0" fillId="4" borderId="13" xfId="0" applyFill="1" applyBorder="1"/>
    <xf numFmtId="0" fontId="1" fillId="4" borderId="14" xfId="0" applyFont="1" applyFill="1" applyBorder="1"/>
    <xf numFmtId="0" fontId="1" fillId="2" borderId="15" xfId="0" applyFont="1" applyFill="1" applyBorder="1" applyAlignment="1">
      <alignment horizontal="center"/>
    </xf>
    <xf numFmtId="0" fontId="0" fillId="5" borderId="16" xfId="0" applyFill="1" applyBorder="1"/>
    <xf numFmtId="9" fontId="0" fillId="6" borderId="16" xfId="0" applyNumberFormat="1" applyFill="1" applyBorder="1"/>
    <xf numFmtId="0" fontId="0" fillId="6" borderId="16"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6" xfId="0" applyFont="1" applyFill="1" applyBorder="1"/>
    <xf numFmtId="166" fontId="0" fillId="6" borderId="16" xfId="0" applyNumberFormat="1" applyFill="1" applyBorder="1" applyAlignment="1"/>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25" xfId="0" applyFont="1" applyFill="1" applyBorder="1" applyAlignment="1">
      <alignment horizontal="center"/>
    </xf>
    <xf numFmtId="0" fontId="1" fillId="2" borderId="16" xfId="0" applyFont="1" applyFill="1" applyBorder="1" applyAlignment="1">
      <alignment horizontal="center"/>
    </xf>
    <xf numFmtId="0" fontId="0" fillId="2" borderId="16" xfId="0" applyFill="1" applyBorder="1"/>
    <xf numFmtId="167" fontId="0" fillId="0" borderId="0" xfId="0" applyNumberFormat="1"/>
    <xf numFmtId="3" fontId="0" fillId="0" borderId="0" xfId="0" applyNumberFormat="1"/>
    <xf numFmtId="3" fontId="1" fillId="4" borderId="7" xfId="0" applyNumberFormat="1" applyFont="1" applyFill="1" applyBorder="1"/>
    <xf numFmtId="3" fontId="1" fillId="4" borderId="10" xfId="0" applyNumberFormat="1" applyFont="1" applyFill="1" applyBorder="1"/>
    <xf numFmtId="2" fontId="0" fillId="0" borderId="0" xfId="0" applyNumberFormat="1" applyBorder="1" applyAlignment="1">
      <alignment horizontal="right"/>
    </xf>
    <xf numFmtId="0" fontId="0" fillId="0" borderId="27" xfId="0" applyBorder="1"/>
    <xf numFmtId="3" fontId="0" fillId="0" borderId="28" xfId="0" applyNumberFormat="1" applyBorder="1"/>
    <xf numFmtId="3" fontId="0" fillId="0" borderId="4" xfId="0" applyNumberFormat="1" applyBorder="1"/>
    <xf numFmtId="3" fontId="0" fillId="0" borderId="29" xfId="0" applyNumberFormat="1" applyBorder="1"/>
    <xf numFmtId="1" fontId="0" fillId="0" borderId="30" xfId="0" applyNumberFormat="1" applyBorder="1"/>
    <xf numFmtId="1" fontId="0" fillId="0" borderId="31" xfId="0" applyNumberFormat="1" applyBorder="1"/>
    <xf numFmtId="1" fontId="0" fillId="0" borderId="32" xfId="0" applyNumberFormat="1" applyBorder="1"/>
    <xf numFmtId="8" fontId="4" fillId="0" borderId="19" xfId="0" applyNumberFormat="1" applyFont="1" applyBorder="1"/>
    <xf numFmtId="8" fontId="4" fillId="0" borderId="3" xfId="0" applyNumberFormat="1" applyFont="1" applyBorder="1"/>
    <xf numFmtId="0" fontId="4" fillId="0" borderId="19" xfId="0" applyFont="1" applyBorder="1"/>
    <xf numFmtId="8" fontId="4" fillId="0" borderId="3" xfId="0" applyNumberFormat="1" applyFont="1" applyFill="1" applyBorder="1"/>
    <xf numFmtId="8" fontId="4" fillId="0" borderId="20" xfId="0" applyNumberFormat="1" applyFont="1" applyBorder="1"/>
    <xf numFmtId="8" fontId="4" fillId="0" borderId="21" xfId="0" applyNumberFormat="1" applyFont="1" applyBorder="1"/>
    <xf numFmtId="167" fontId="1" fillId="4" borderId="34" xfId="0" applyNumberFormat="1" applyFont="1" applyFill="1" applyBorder="1"/>
    <xf numFmtId="167" fontId="1" fillId="4" borderId="35" xfId="0" applyNumberFormat="1" applyFont="1" applyFill="1" applyBorder="1"/>
    <xf numFmtId="0" fontId="1" fillId="4" borderId="36" xfId="0" applyFont="1" applyFill="1" applyBorder="1"/>
    <xf numFmtId="2" fontId="1" fillId="4" borderId="37" xfId="0" applyNumberFormat="1" applyFont="1" applyFill="1" applyBorder="1"/>
    <xf numFmtId="2" fontId="1" fillId="4" borderId="38" xfId="0" applyNumberFormat="1" applyFont="1" applyFill="1" applyBorder="1"/>
    <xf numFmtId="0" fontId="1" fillId="4" borderId="39" xfId="0" applyFont="1" applyFill="1" applyBorder="1"/>
    <xf numFmtId="164" fontId="0" fillId="0" borderId="0" xfId="0" applyNumberFormat="1" applyBorder="1"/>
    <xf numFmtId="0" fontId="1" fillId="4" borderId="38" xfId="0" applyFont="1" applyFill="1" applyBorder="1"/>
    <xf numFmtId="0" fontId="0" fillId="4" borderId="38" xfId="0" applyFill="1" applyBorder="1"/>
    <xf numFmtId="0" fontId="0" fillId="4" borderId="39" xfId="0" applyFill="1" applyBorder="1"/>
    <xf numFmtId="2" fontId="0" fillId="0" borderId="4" xfId="0" applyNumberFormat="1" applyBorder="1"/>
    <xf numFmtId="168" fontId="0" fillId="0" borderId="31" xfId="0" applyNumberFormat="1" applyBorder="1"/>
    <xf numFmtId="2" fontId="1" fillId="4" borderId="42" xfId="0" applyNumberFormat="1" applyFont="1" applyFill="1" applyBorder="1"/>
    <xf numFmtId="168" fontId="1" fillId="4" borderId="43" xfId="0" applyNumberFormat="1" applyFont="1" applyFill="1" applyBorder="1"/>
    <xf numFmtId="2" fontId="1" fillId="4" borderId="44" xfId="0" applyNumberFormat="1" applyFont="1" applyFill="1" applyBorder="1"/>
    <xf numFmtId="168" fontId="1" fillId="4" borderId="45" xfId="0" applyNumberFormat="1" applyFont="1" applyFill="1" applyBorder="1"/>
    <xf numFmtId="0" fontId="1" fillId="4" borderId="46" xfId="0" applyFont="1" applyFill="1" applyBorder="1"/>
    <xf numFmtId="0" fontId="1" fillId="4" borderId="47" xfId="0" applyFont="1" applyFill="1" applyBorder="1"/>
    <xf numFmtId="2" fontId="1" fillId="4" borderId="34" xfId="0" applyNumberFormat="1" applyFont="1" applyFill="1" applyBorder="1"/>
    <xf numFmtId="2" fontId="1" fillId="4" borderId="35" xfId="0" applyNumberFormat="1" applyFont="1" applyFill="1" applyBorder="1"/>
    <xf numFmtId="0" fontId="1" fillId="2" borderId="50" xfId="0" applyFont="1" applyFill="1" applyBorder="1" applyAlignment="1">
      <alignment horizontal="center"/>
    </xf>
    <xf numFmtId="0" fontId="1" fillId="2" borderId="51" xfId="0" applyFont="1" applyFill="1" applyBorder="1" applyAlignment="1">
      <alignment horizontal="center"/>
    </xf>
    <xf numFmtId="9" fontId="0" fillId="0" borderId="0" xfId="0" applyNumberFormat="1" applyBorder="1"/>
    <xf numFmtId="0" fontId="1" fillId="4" borderId="42" xfId="0" applyFont="1" applyFill="1" applyBorder="1"/>
    <xf numFmtId="2" fontId="1" fillId="4" borderId="43" xfId="0" applyNumberFormat="1" applyFont="1" applyFill="1" applyBorder="1"/>
    <xf numFmtId="0" fontId="1" fillId="4" borderId="44" xfId="0" applyFont="1" applyFill="1" applyBorder="1"/>
    <xf numFmtId="2" fontId="1" fillId="4" borderId="45" xfId="0" applyNumberFormat="1" applyFont="1" applyFill="1" applyBorder="1"/>
    <xf numFmtId="0" fontId="0" fillId="4" borderId="44" xfId="0" applyFill="1" applyBorder="1"/>
    <xf numFmtId="0" fontId="0" fillId="4" borderId="46" xfId="0" applyFill="1" applyBorder="1"/>
    <xf numFmtId="0" fontId="1" fillId="4" borderId="9" xfId="0" applyFont="1" applyFill="1" applyBorder="1" applyAlignment="1">
      <alignment shrinkToFit="1"/>
    </xf>
    <xf numFmtId="14" fontId="0" fillId="0" borderId="53" xfId="0" applyNumberFormat="1" applyBorder="1"/>
    <xf numFmtId="0" fontId="0" fillId="0" borderId="53" xfId="0" applyBorder="1"/>
    <xf numFmtId="0" fontId="0" fillId="0" borderId="53" xfId="0" applyBorder="1" applyAlignment="1">
      <alignment horizontal="center"/>
    </xf>
    <xf numFmtId="3" fontId="0" fillId="0" borderId="54" xfId="0" applyNumberFormat="1" applyBorder="1"/>
    <xf numFmtId="2" fontId="0" fillId="0" borderId="53" xfId="0" applyNumberFormat="1" applyBorder="1"/>
    <xf numFmtId="9" fontId="0" fillId="0" borderId="53" xfId="0" applyNumberFormat="1" applyBorder="1"/>
    <xf numFmtId="1" fontId="0" fillId="0" borderId="52" xfId="0" applyNumberFormat="1" applyBorder="1"/>
    <xf numFmtId="3" fontId="0" fillId="0" borderId="53" xfId="0" applyNumberFormat="1" applyBorder="1"/>
    <xf numFmtId="167" fontId="0" fillId="0" borderId="53" xfId="0" applyNumberFormat="1" applyBorder="1"/>
    <xf numFmtId="2" fontId="0" fillId="0" borderId="54" xfId="0" applyNumberFormat="1" applyBorder="1"/>
    <xf numFmtId="168" fontId="0" fillId="0" borderId="52" xfId="0" applyNumberFormat="1" applyBorder="1"/>
    <xf numFmtId="164" fontId="0" fillId="0" borderId="53" xfId="0" applyNumberFormat="1" applyBorder="1"/>
    <xf numFmtId="164" fontId="0" fillId="0" borderId="55" xfId="0" applyNumberFormat="1" applyFill="1" applyBorder="1"/>
    <xf numFmtId="164" fontId="0" fillId="0" borderId="54" xfId="0" applyNumberFormat="1" applyFill="1" applyBorder="1"/>
    <xf numFmtId="164" fontId="0" fillId="0" borderId="53" xfId="0" applyNumberFormat="1" applyFill="1" applyBorder="1"/>
    <xf numFmtId="0" fontId="0" fillId="0" borderId="53" xfId="0" applyNumberFormat="1" applyBorder="1"/>
    <xf numFmtId="8" fontId="4" fillId="0" borderId="56" xfId="0" applyNumberFormat="1" applyFont="1" applyBorder="1"/>
    <xf numFmtId="8" fontId="4" fillId="0" borderId="55" xfId="0" applyNumberFormat="1" applyFont="1" applyBorder="1"/>
    <xf numFmtId="0" fontId="0" fillId="0" borderId="57" xfId="0" applyBorder="1"/>
    <xf numFmtId="8" fontId="4" fillId="0" borderId="55" xfId="0" applyNumberFormat="1" applyFont="1" applyFill="1" applyBorder="1"/>
    <xf numFmtId="49" fontId="0" fillId="0" borderId="0" xfId="0" applyNumberFormat="1"/>
    <xf numFmtId="0" fontId="0" fillId="0" borderId="0" xfId="0" applyNumberFormat="1"/>
    <xf numFmtId="164" fontId="0" fillId="0" borderId="0" xfId="0" applyNumberFormat="1"/>
    <xf numFmtId="0" fontId="0" fillId="0" borderId="26" xfId="0" applyBorder="1" applyAlignment="1">
      <alignment horizontal="center"/>
    </xf>
    <xf numFmtId="0" fontId="0" fillId="0" borderId="27" xfId="0" applyBorder="1" applyAlignment="1">
      <alignment horizontal="center"/>
    </xf>
    <xf numFmtId="2" fontId="0" fillId="0" borderId="0" xfId="0" applyNumberFormat="1" applyFill="1" applyBorder="1"/>
    <xf numFmtId="2" fontId="0" fillId="0" borderId="53" xfId="0" applyNumberFormat="1" applyFill="1" applyBorder="1"/>
    <xf numFmtId="0" fontId="0" fillId="0" borderId="58" xfId="0" pivotButton="1" applyBorder="1"/>
    <xf numFmtId="0" fontId="0" fillId="0" borderId="59" xfId="0" applyBorder="1"/>
    <xf numFmtId="3" fontId="0" fillId="0" borderId="60" xfId="0" applyNumberFormat="1" applyBorder="1" applyAlignment="1">
      <alignment horizontal="right"/>
    </xf>
    <xf numFmtId="164" fontId="0" fillId="0" borderId="61" xfId="0" applyNumberFormat="1" applyBorder="1"/>
    <xf numFmtId="3" fontId="0" fillId="0" borderId="62" xfId="0" applyNumberFormat="1" applyBorder="1" applyAlignment="1">
      <alignment horizontal="right"/>
    </xf>
    <xf numFmtId="164" fontId="0" fillId="0" borderId="63" xfId="0" applyNumberFormat="1" applyBorder="1"/>
    <xf numFmtId="0" fontId="0" fillId="0" borderId="0" xfId="0" applyAlignment="1">
      <alignment textRotation="135"/>
    </xf>
    <xf numFmtId="0" fontId="0" fillId="0" borderId="0" xfId="0" applyAlignment="1">
      <alignment shrinkToFit="1"/>
    </xf>
    <xf numFmtId="0" fontId="0" fillId="0" borderId="53" xfId="0" applyBorder="1" applyAlignment="1">
      <alignment shrinkToFit="1"/>
    </xf>
    <xf numFmtId="0" fontId="0" fillId="0" borderId="64" xfId="0" pivotButton="1" applyBorder="1"/>
    <xf numFmtId="0" fontId="0" fillId="0" borderId="64" xfId="0" applyBorder="1"/>
    <xf numFmtId="164" fontId="0" fillId="0" borderId="64" xfId="0" applyNumberFormat="1" applyBorder="1"/>
    <xf numFmtId="2" fontId="0" fillId="0" borderId="64" xfId="0" applyNumberFormat="1" applyBorder="1" applyAlignment="1">
      <alignment horizontal="right"/>
    </xf>
    <xf numFmtId="0" fontId="0" fillId="0" borderId="64" xfId="0" pivotButton="1" applyBorder="1" applyAlignment="1">
      <alignment horizontal="center"/>
    </xf>
    <xf numFmtId="0" fontId="0" fillId="0" borderId="64" xfId="0" applyBorder="1" applyAlignment="1">
      <alignment horizontal="center"/>
    </xf>
    <xf numFmtId="2" fontId="0" fillId="0" borderId="64" xfId="0" applyNumberFormat="1" applyBorder="1" applyAlignment="1">
      <alignment horizontal="center"/>
    </xf>
    <xf numFmtId="0" fontId="1" fillId="2" borderId="33" xfId="0" applyFont="1" applyFill="1" applyBorder="1" applyAlignment="1">
      <alignment horizontal="center"/>
    </xf>
    <xf numFmtId="0" fontId="1" fillId="2" borderId="66" xfId="0" applyFont="1" applyFill="1" applyBorder="1" applyAlignment="1">
      <alignment horizontal="center"/>
    </xf>
    <xf numFmtId="0" fontId="1" fillId="2" borderId="65" xfId="0" applyFont="1" applyFill="1" applyBorder="1" applyAlignment="1">
      <alignment horizontal="center"/>
    </xf>
    <xf numFmtId="14" fontId="1" fillId="6" borderId="17" xfId="0" applyNumberFormat="1" applyFont="1" applyFill="1" applyBorder="1" applyAlignment="1">
      <alignment horizontal="center"/>
    </xf>
    <xf numFmtId="0" fontId="1" fillId="6" borderId="18" xfId="0" applyFont="1" applyFill="1" applyBorder="1" applyAlignment="1">
      <alignment horizontal="center"/>
    </xf>
    <xf numFmtId="0" fontId="8" fillId="3" borderId="17" xfId="0" applyFont="1" applyFill="1" applyBorder="1" applyAlignment="1">
      <alignment horizontal="center"/>
    </xf>
    <xf numFmtId="0" fontId="7" fillId="3" borderId="18" xfId="0" applyFont="1" applyFill="1" applyBorder="1" applyAlignment="1">
      <alignment horizontal="center"/>
    </xf>
    <xf numFmtId="165" fontId="1" fillId="6" borderId="17" xfId="0" applyNumberFormat="1" applyFont="1" applyFill="1" applyBorder="1" applyAlignment="1">
      <alignment horizontal="center"/>
    </xf>
    <xf numFmtId="165" fontId="1" fillId="6" borderId="18" xfId="0" applyNumberFormat="1" applyFont="1" applyFill="1" applyBorder="1" applyAlignment="1">
      <alignment horizontal="center"/>
    </xf>
    <xf numFmtId="0" fontId="1" fillId="2" borderId="16" xfId="0" applyFont="1" applyFill="1" applyBorder="1" applyAlignment="1">
      <alignment horizontal="center" shrinkToFit="1"/>
    </xf>
    <xf numFmtId="0" fontId="0" fillId="0" borderId="16" xfId="0" applyBorder="1" applyAlignment="1">
      <alignment horizontal="center" shrinkToFit="1"/>
    </xf>
    <xf numFmtId="0" fontId="1" fillId="2" borderId="18" xfId="0" applyFont="1" applyFill="1" applyBorder="1" applyAlignment="1">
      <alignment horizontal="center"/>
    </xf>
    <xf numFmtId="0" fontId="0" fillId="0" borderId="16" xfId="0" applyBorder="1" applyAlignment="1">
      <alignment horizontal="center"/>
    </xf>
    <xf numFmtId="0" fontId="1" fillId="10" borderId="40" xfId="0" applyFont="1" applyFill="1" applyBorder="1" applyAlignment="1">
      <alignment horizontal="center"/>
    </xf>
    <xf numFmtId="0" fontId="0" fillId="10" borderId="33" xfId="0" applyFill="1" applyBorder="1" applyAlignment="1">
      <alignment horizontal="center"/>
    </xf>
    <xf numFmtId="0" fontId="0" fillId="10" borderId="41" xfId="0" applyFill="1" applyBorder="1" applyAlignment="1">
      <alignment horizontal="center"/>
    </xf>
    <xf numFmtId="0" fontId="1" fillId="2" borderId="16" xfId="0" applyFont="1" applyFill="1" applyBorder="1" applyAlignment="1">
      <alignment horizontal="center" vertical="center"/>
    </xf>
    <xf numFmtId="0" fontId="0" fillId="0" borderId="16" xfId="0" applyBorder="1" applyAlignment="1">
      <alignment horizontal="center" vertical="center"/>
    </xf>
    <xf numFmtId="0" fontId="2" fillId="3" borderId="17" xfId="0" applyFont="1" applyFill="1" applyBorder="1" applyAlignment="1">
      <alignment horizontal="center"/>
    </xf>
    <xf numFmtId="0" fontId="0" fillId="0" borderId="18" xfId="0" applyBorder="1" applyAlignment="1">
      <alignment horizontal="center"/>
    </xf>
    <xf numFmtId="0" fontId="8" fillId="3" borderId="17" xfId="0" applyFont="1" applyFill="1" applyBorder="1" applyAlignment="1"/>
    <xf numFmtId="0" fontId="7" fillId="3" borderId="18" xfId="0" applyFont="1" applyFill="1" applyBorder="1" applyAlignment="1"/>
    <xf numFmtId="49" fontId="1" fillId="9" borderId="48" xfId="0" applyNumberFormat="1" applyFont="1" applyFill="1" applyBorder="1" applyAlignment="1">
      <alignment horizontal="center" vertical="center"/>
    </xf>
    <xf numFmtId="49" fontId="0" fillId="9" borderId="16" xfId="0" applyNumberFormat="1" applyFill="1" applyBorder="1" applyAlignment="1">
      <alignment horizontal="center" vertical="center"/>
    </xf>
    <xf numFmtId="49" fontId="0" fillId="9" borderId="49" xfId="0" applyNumberFormat="1" applyFill="1" applyBorder="1" applyAlignment="1">
      <alignment horizontal="center" vertical="center"/>
    </xf>
    <xf numFmtId="0" fontId="1" fillId="7" borderId="40" xfId="0" applyFont="1" applyFill="1" applyBorder="1" applyAlignment="1">
      <alignment horizontal="center"/>
    </xf>
    <xf numFmtId="0" fontId="0" fillId="7" borderId="33" xfId="0" applyFill="1" applyBorder="1" applyAlignment="1">
      <alignment horizontal="center"/>
    </xf>
    <xf numFmtId="0" fontId="0" fillId="7" borderId="41" xfId="0" applyFill="1" applyBorder="1" applyAlignment="1">
      <alignment horizontal="center"/>
    </xf>
    <xf numFmtId="0" fontId="2" fillId="8" borderId="17" xfId="0" applyFont="1" applyFill="1" applyBorder="1" applyAlignment="1">
      <alignment horizontal="center" shrinkToFit="1"/>
    </xf>
    <xf numFmtId="0" fontId="2" fillId="8" borderId="18" xfId="0" applyFont="1" applyFill="1" applyBorder="1" applyAlignment="1">
      <alignment horizontal="center" shrinkToFit="1"/>
    </xf>
    <xf numFmtId="0" fontId="7" fillId="8" borderId="64" xfId="0" applyFont="1" applyFill="1" applyBorder="1" applyAlignment="1">
      <alignment horizontal="center" vertical="center"/>
    </xf>
  </cellXfs>
  <cellStyles count="1">
    <cellStyle name="Normal" xfId="0" builtinId="0"/>
  </cellStyles>
  <dxfs count="83">
    <dxf>
      <numFmt numFmtId="164" formatCode="&quot;$&quot;#,##0.00"/>
    </dxf>
    <dxf>
      <alignment horizontal="right"/>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numFmt numFmtId="164" formatCode="&quot;$&quot;#,##0.00"/>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numFmt numFmtId="164" formatCode="&quot;$&quot;#,##0.00"/>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vertical style="thin">
          <color auto="1"/>
        </vertical>
        <horizontal style="thin">
          <color auto="1"/>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medium">
          <color auto="1"/>
        </left>
        <right style="medium">
          <color auto="1"/>
        </right>
        <top style="medium">
          <color auto="1"/>
        </top>
        <bottom style="medium">
          <color auto="1"/>
        </bottom>
        <vertical/>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alignment horizontal="right"/>
    </dxf>
    <dxf>
      <numFmt numFmtId="164" formatCode="&quot;$&quot;#,##0.00"/>
    </dxf>
    <dxf>
      <border diagonalUp="0" diagonalDown="0">
        <left style="medium">
          <color auto="1"/>
        </left>
        <right style="thick">
          <color auto="1"/>
        </right>
        <top/>
        <bottom/>
        <vertical/>
        <horizontal/>
      </border>
    </dxf>
    <dxf>
      <font>
        <b val="0"/>
        <i val="0"/>
        <strike val="0"/>
        <outline val="0"/>
        <shadow val="0"/>
        <u val="none"/>
        <vertAlign val="baseline"/>
        <sz val="11"/>
        <color auto="1"/>
        <name val="Calibri"/>
        <scheme val="minor"/>
      </font>
      <numFmt numFmtId="12" formatCode="&quot;$&quot;#,##0.00_);[Red]\(&quot;$&quot;#,##0.00\)"/>
      <border diagonalUp="0" diagonalDown="0">
        <left/>
        <right style="medium">
          <color auto="1"/>
        </right>
        <top/>
        <bottom/>
      </border>
    </dxf>
    <dxf>
      <font>
        <b val="0"/>
        <i val="0"/>
        <strike val="0"/>
        <outline val="0"/>
        <shadow val="0"/>
        <u val="none"/>
        <vertAlign val="baseline"/>
        <sz val="11"/>
        <color auto="1"/>
        <name val="Calibri"/>
        <scheme val="minor"/>
      </font>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168" formatCode="0.000"/>
    </dxf>
    <dxf>
      <numFmt numFmtId="2" formatCode="0.00"/>
    </dxf>
    <dxf>
      <numFmt numFmtId="2" formatCode="0.00"/>
    </dxf>
    <dxf>
      <numFmt numFmtId="2" formatCode="0.00"/>
      <border diagonalUp="0" diagonalDown="0">
        <left style="thick">
          <color auto="1"/>
        </left>
      </border>
    </dxf>
    <dxf>
      <numFmt numFmtId="167" formatCode="0.000E+00"/>
    </dxf>
    <dxf>
      <numFmt numFmtId="3" formatCode="#,##0"/>
    </dxf>
    <dxf>
      <numFmt numFmtId="3" formatCode="#,##0"/>
    </dxf>
    <dxf>
      <numFmt numFmtId="1" formatCode="0"/>
      <border diagonalUp="0" diagonalDown="0">
        <left/>
        <right style="thick">
          <color auto="1"/>
        </right>
        <top/>
        <bottom/>
      </border>
    </dxf>
    <dxf>
      <numFmt numFmtId="13" formatCode="0%"/>
    </dxf>
    <dxf>
      <numFmt numFmtId="2" formatCode="0.00"/>
    </dxf>
    <dxf>
      <numFmt numFmtId="2" formatCode="0.00"/>
    </dxf>
    <dxf>
      <numFmt numFmtId="3" formatCode="#,##0"/>
      <border diagonalUp="0" diagonalDown="0">
        <left style="thick">
          <color auto="1"/>
        </left>
        <right/>
        <top/>
        <bottom/>
      </border>
    </dxf>
    <dxf>
      <numFmt numFmtId="2" formatCode="0.00"/>
      <fill>
        <patternFill patternType="none">
          <fgColor indexed="64"/>
          <bgColor indexed="65"/>
        </patternFill>
      </fill>
      <alignment horizontal="center" vertical="bottom" textRotation="0" wrapText="0" indent="0" relativeIndent="0" justifyLastLine="0" shrinkToFit="0" readingOrder="0"/>
    </dxf>
    <dxf>
      <alignment horizontal="center" vertical="bottom" textRotation="0" wrapText="0" indent="0" relativeIndent="255" justifyLastLine="0" shrinkToFit="0" readingOrder="0"/>
    </dxf>
    <dxf>
      <alignment horizontal="general" vertical="bottom" textRotation="0" wrapText="0" indent="0" relativeIndent="255" justifyLastLine="0" shrinkToFit="1"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colors>
    <mruColors>
      <color rgb="FF9B06CA"/>
      <color rgb="FF900B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analysis.xlsx]Tables!PivotTable1</c:name>
    <c:fmtId val="0"/>
  </c:pivotSource>
  <c:chart>
    <c:title>
      <c:tx>
        <c:rich>
          <a:bodyPr/>
          <a:lstStyle/>
          <a:p>
            <a:pPr>
              <a:defRPr/>
            </a:pPr>
            <a:r>
              <a:rPr lang="en-US" sz="1600"/>
              <a:t>NAS Drives Average Cost By</a:t>
            </a:r>
            <a:r>
              <a:rPr lang="en-US" sz="1600" baseline="0"/>
              <a:t> Size Per Year</a:t>
            </a:r>
            <a:endParaRPr lang="en-US" sz="1600"/>
          </a:p>
        </c:rich>
      </c:tx>
      <c:layout/>
      <c:spPr>
        <a:effectLst>
          <a:innerShdw blurRad="63500" dist="381000" dir="2700000">
            <a:prstClr val="black">
              <a:alpha val="70000"/>
            </a:prstClr>
          </a:innerShdw>
        </a:effectLst>
      </c:spPr>
    </c:title>
    <c:pivotFmts>
      <c:pivotFmt>
        <c:idx val="0"/>
        <c:marker>
          <c:symbol val="none"/>
        </c:marker>
      </c:pivotFmt>
      <c:pivotFmt>
        <c:idx val="1"/>
        <c:spPr>
          <a:solidFill>
            <a:srgbClr val="5B9BD5"/>
          </a:solidFill>
        </c:spPr>
        <c:marker>
          <c:symbol val="none"/>
        </c:marker>
      </c:pivotFmt>
      <c:pivotFmt>
        <c:idx val="2"/>
        <c:marker>
          <c:symbol val="none"/>
        </c:marker>
      </c:pivotFmt>
    </c:pivotFmts>
    <c:plotArea>
      <c:layout/>
      <c:barChart>
        <c:barDir val="col"/>
        <c:grouping val="clustered"/>
        <c:ser>
          <c:idx val="0"/>
          <c:order val="0"/>
          <c:tx>
            <c:strRef>
              <c:f>Tables!$F$3</c:f>
              <c:strCache>
                <c:ptCount val="1"/>
                <c:pt idx="0">
                  <c:v>Total</c:v>
                </c:pt>
              </c:strCache>
            </c:strRef>
          </c:tx>
          <c:spPr>
            <a:solidFill>
              <a:srgbClr val="5B9BD5"/>
            </a:solidFill>
          </c:spPr>
          <c:cat>
            <c:strRef>
              <c:f>Tables!$E$4:$E$16</c:f>
              <c:strCache>
                <c:ptCount val="12"/>
                <c:pt idx="0">
                  <c:v>0.60</c:v>
                </c:pt>
                <c:pt idx="1">
                  <c:v>0.75</c:v>
                </c:pt>
                <c:pt idx="2">
                  <c:v>1.00</c:v>
                </c:pt>
                <c:pt idx="3">
                  <c:v>1.80</c:v>
                </c:pt>
                <c:pt idx="4">
                  <c:v>2.00</c:v>
                </c:pt>
                <c:pt idx="5">
                  <c:v>3.00</c:v>
                </c:pt>
                <c:pt idx="6">
                  <c:v>4.00</c:v>
                </c:pt>
                <c:pt idx="7">
                  <c:v>5.00</c:v>
                </c:pt>
                <c:pt idx="8">
                  <c:v>6.00</c:v>
                </c:pt>
                <c:pt idx="9">
                  <c:v>8.00</c:v>
                </c:pt>
                <c:pt idx="10">
                  <c:v>10.00</c:v>
                </c:pt>
                <c:pt idx="11">
                  <c:v>12.00</c:v>
                </c:pt>
              </c:strCache>
            </c:strRef>
          </c:cat>
          <c:val>
            <c:numRef>
              <c:f>Tables!$F$4:$F$16</c:f>
              <c:numCache>
                <c:formatCode>"$"#,##0.00</c:formatCode>
                <c:ptCount val="12"/>
                <c:pt idx="0">
                  <c:v>39.733333333333334</c:v>
                </c:pt>
                <c:pt idx="1">
                  <c:v>17.890080000000001</c:v>
                </c:pt>
                <c:pt idx="2">
                  <c:v>19.716954285714287</c:v>
                </c:pt>
                <c:pt idx="3">
                  <c:v>64.987777777777779</c:v>
                </c:pt>
                <c:pt idx="4">
                  <c:v>14.440740000000002</c:v>
                </c:pt>
                <c:pt idx="5">
                  <c:v>10.437808</c:v>
                </c:pt>
                <c:pt idx="6">
                  <c:v>8.8292365000000004</c:v>
                </c:pt>
                <c:pt idx="7">
                  <c:v>12.814000000000002</c:v>
                </c:pt>
                <c:pt idx="8">
                  <c:v>7.9044813333333321</c:v>
                </c:pt>
                <c:pt idx="9">
                  <c:v>7.8287682500000004</c:v>
                </c:pt>
                <c:pt idx="10">
                  <c:v>8.1258584999999997</c:v>
                </c:pt>
                <c:pt idx="11">
                  <c:v>9.3720555555555549</c:v>
                </c:pt>
              </c:numCache>
            </c:numRef>
          </c:val>
        </c:ser>
        <c:axId val="236440960"/>
        <c:axId val="237000192"/>
      </c:barChart>
      <c:catAx>
        <c:axId val="236440960"/>
        <c:scaling>
          <c:orientation val="minMax"/>
        </c:scaling>
        <c:axPos val="b"/>
        <c:title>
          <c:tx>
            <c:rich>
              <a:bodyPr/>
              <a:lstStyle/>
              <a:p>
                <a:pPr>
                  <a:defRPr/>
                </a:pPr>
                <a:r>
                  <a:rPr lang="en-US"/>
                  <a:t>Size</a:t>
                </a:r>
                <a:r>
                  <a:rPr lang="en-US" baseline="0"/>
                  <a:t> in TB</a:t>
                </a:r>
                <a:endParaRPr lang="en-US"/>
              </a:p>
            </c:rich>
          </c:tx>
          <c:layout/>
        </c:title>
        <c:tickLblPos val="nextTo"/>
        <c:crossAx val="237000192"/>
        <c:crosses val="autoZero"/>
        <c:auto val="1"/>
        <c:lblAlgn val="ctr"/>
        <c:lblOffset val="100"/>
      </c:catAx>
      <c:valAx>
        <c:axId val="237000192"/>
        <c:scaling>
          <c:orientation val="minMax"/>
        </c:scaling>
        <c:axPos val="l"/>
        <c:majorGridlines/>
        <c:numFmt formatCode="&quot;$&quot;#,##0.00" sourceLinked="1"/>
        <c:tickLblPos val="nextTo"/>
        <c:crossAx val="236440960"/>
        <c:crosses val="autoZero"/>
        <c:crossBetween val="between"/>
      </c:valAx>
    </c:plotArea>
    <c:legend>
      <c:legendPos val="r"/>
      <c:layout/>
    </c:legend>
    <c:plotVisOnly val="1"/>
  </c:chart>
  <c:spPr>
    <a:solidFill>
      <a:srgbClr val="4472C4">
        <a:lumMod val="20000"/>
        <a:lumOff val="80000"/>
      </a:srgbClr>
    </a:solidFill>
    <a:scene3d>
      <a:camera prst="orthographicFront"/>
      <a:lightRig rig="threePt" dir="t"/>
    </a:scene3d>
    <a:sp3d>
      <a:bevelT prst="relaxedInset"/>
    </a:sp3d>
  </c:spPr>
  <c:printSettings>
    <c:headerFooter/>
    <c:pageMargins b="0.75000000000000033" l="0.70000000000000029" r="0.70000000000000029" t="0.75000000000000033" header="0.30000000000000016" footer="0.30000000000000016"/>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375"/>
          <c:w val="0.69406736657918244"/>
          <c:h val="0.62271617089530451"/>
        </c:manualLayout>
      </c:layout>
      <c:scatterChart>
        <c:scatterStyle val="lineMarker"/>
        <c:ser>
          <c:idx val="1"/>
          <c:order val="0"/>
          <c:tx>
            <c:strRef>
              <c:f>'Drive Table'!$C$3:$C$122</c:f>
              <c:strCache>
                <c:ptCount val="1"/>
                <c:pt idx="0">
                  <c:v>Deskstar NAS Deskstar NAS Deskstar NAS Deskstar NAS Travelstar 5K100 2.5" Travelstar 7K100 2.5" Ultrastar 7K6 Ultrastar 7K6 Ultrastar 7K6 Ultrastar 7K6 Ultrastar Archive Ha10 Ultrastar C15K600 2.5" Ultrastar C10K1800 2.5" Ultrastar He6 Ultrastar He8 Ultra</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Table'!$E$3:$E$122</c:f>
              <c:numCache>
                <c:formatCode>0.00</c:formatCode>
                <c:ptCount val="120"/>
                <c:pt idx="0">
                  <c:v>4</c:v>
                </c:pt>
                <c:pt idx="1">
                  <c:v>6</c:v>
                </c:pt>
                <c:pt idx="2">
                  <c:v>8</c:v>
                </c:pt>
                <c:pt idx="3">
                  <c:v>10</c:v>
                </c:pt>
                <c:pt idx="4">
                  <c:v>1</c:v>
                </c:pt>
                <c:pt idx="5">
                  <c:v>1</c:v>
                </c:pt>
                <c:pt idx="6">
                  <c:v>2</c:v>
                </c:pt>
                <c:pt idx="7">
                  <c:v>4</c:v>
                </c:pt>
                <c:pt idx="8">
                  <c:v>5</c:v>
                </c:pt>
                <c:pt idx="9">
                  <c:v>6</c:v>
                </c:pt>
                <c:pt idx="10">
                  <c:v>8</c:v>
                </c:pt>
                <c:pt idx="11">
                  <c:v>0.6</c:v>
                </c:pt>
                <c:pt idx="12">
                  <c:v>1.8</c:v>
                </c:pt>
                <c:pt idx="13">
                  <c:v>6</c:v>
                </c:pt>
                <c:pt idx="14">
                  <c:v>8</c:v>
                </c:pt>
                <c:pt idx="15">
                  <c:v>10</c:v>
                </c:pt>
                <c:pt idx="16">
                  <c:v>12</c:v>
                </c:pt>
                <c:pt idx="17">
                  <c:v>5</c:v>
                </c:pt>
                <c:pt idx="18">
                  <c:v>6</c:v>
                </c:pt>
                <c:pt idx="19">
                  <c:v>8</c:v>
                </c:pt>
                <c:pt idx="20">
                  <c:v>1</c:v>
                </c:pt>
                <c:pt idx="21">
                  <c:v>2</c:v>
                </c:pt>
                <c:pt idx="22">
                  <c:v>3</c:v>
                </c:pt>
                <c:pt idx="23">
                  <c:v>4</c:v>
                </c:pt>
                <c:pt idx="24">
                  <c:v>1</c:v>
                </c:pt>
                <c:pt idx="25">
                  <c:v>2</c:v>
                </c:pt>
                <c:pt idx="26">
                  <c:v>3</c:v>
                </c:pt>
                <c:pt idx="27">
                  <c:v>4</c:v>
                </c:pt>
                <c:pt idx="28">
                  <c:v>5</c:v>
                </c:pt>
                <c:pt idx="29">
                  <c:v>2</c:v>
                </c:pt>
                <c:pt idx="30">
                  <c:v>4</c:v>
                </c:pt>
                <c:pt idx="31">
                  <c:v>5</c:v>
                </c:pt>
                <c:pt idx="32">
                  <c:v>6</c:v>
                </c:pt>
                <c:pt idx="33">
                  <c:v>8</c:v>
                </c:pt>
                <c:pt idx="34">
                  <c:v>10</c:v>
                </c:pt>
                <c:pt idx="35">
                  <c:v>1</c:v>
                </c:pt>
                <c:pt idx="36">
                  <c:v>2</c:v>
                </c:pt>
                <c:pt idx="37">
                  <c:v>3</c:v>
                </c:pt>
                <c:pt idx="38">
                  <c:v>4</c:v>
                </c:pt>
                <c:pt idx="39">
                  <c:v>1</c:v>
                </c:pt>
                <c:pt idx="40">
                  <c:v>2</c:v>
                </c:pt>
                <c:pt idx="41">
                  <c:v>3</c:v>
                </c:pt>
                <c:pt idx="42">
                  <c:v>4</c:v>
                </c:pt>
                <c:pt idx="43">
                  <c:v>6</c:v>
                </c:pt>
                <c:pt idx="44">
                  <c:v>8</c:v>
                </c:pt>
                <c:pt idx="45">
                  <c:v>8</c:v>
                </c:pt>
                <c:pt idx="46">
                  <c:v>10</c:v>
                </c:pt>
                <c:pt idx="47">
                  <c:v>12</c:v>
                </c:pt>
                <c:pt idx="48">
                  <c:v>1</c:v>
                </c:pt>
                <c:pt idx="49">
                  <c:v>2</c:v>
                </c:pt>
                <c:pt idx="50">
                  <c:v>1</c:v>
                </c:pt>
                <c:pt idx="51">
                  <c:v>2</c:v>
                </c:pt>
                <c:pt idx="52">
                  <c:v>1</c:v>
                </c:pt>
                <c:pt idx="53">
                  <c:v>2</c:v>
                </c:pt>
                <c:pt idx="54">
                  <c:v>1</c:v>
                </c:pt>
                <c:pt idx="55">
                  <c:v>2</c:v>
                </c:pt>
                <c:pt idx="56">
                  <c:v>3</c:v>
                </c:pt>
                <c:pt idx="57">
                  <c:v>4</c:v>
                </c:pt>
                <c:pt idx="58">
                  <c:v>6</c:v>
                </c:pt>
                <c:pt idx="59">
                  <c:v>8</c:v>
                </c:pt>
                <c:pt idx="60">
                  <c:v>10</c:v>
                </c:pt>
                <c:pt idx="61">
                  <c:v>2</c:v>
                </c:pt>
                <c:pt idx="62">
                  <c:v>4</c:v>
                </c:pt>
                <c:pt idx="63">
                  <c:v>6</c:v>
                </c:pt>
                <c:pt idx="64">
                  <c:v>8</c:v>
                </c:pt>
                <c:pt idx="65">
                  <c:v>10</c:v>
                </c:pt>
                <c:pt idx="66">
                  <c:v>4</c:v>
                </c:pt>
                <c:pt idx="67">
                  <c:v>4</c:v>
                </c:pt>
                <c:pt idx="68">
                  <c:v>6</c:v>
                </c:pt>
                <c:pt idx="69">
                  <c:v>8</c:v>
                </c:pt>
                <c:pt idx="70">
                  <c:v>1</c:v>
                </c:pt>
                <c:pt idx="71">
                  <c:v>2</c:v>
                </c:pt>
                <c:pt idx="72">
                  <c:v>3</c:v>
                </c:pt>
                <c:pt idx="73">
                  <c:v>4</c:v>
                </c:pt>
                <c:pt idx="74">
                  <c:v>5</c:v>
                </c:pt>
                <c:pt idx="75">
                  <c:v>6</c:v>
                </c:pt>
                <c:pt idx="76">
                  <c:v>4</c:v>
                </c:pt>
                <c:pt idx="77">
                  <c:v>5</c:v>
                </c:pt>
                <c:pt idx="78">
                  <c:v>6</c:v>
                </c:pt>
                <c:pt idx="79">
                  <c:v>8</c:v>
                </c:pt>
                <c:pt idx="80">
                  <c:v>6</c:v>
                </c:pt>
                <c:pt idx="81">
                  <c:v>1</c:v>
                </c:pt>
                <c:pt idx="82">
                  <c:v>2</c:v>
                </c:pt>
                <c:pt idx="83">
                  <c:v>4</c:v>
                </c:pt>
                <c:pt idx="84">
                  <c:v>5</c:v>
                </c:pt>
                <c:pt idx="85">
                  <c:v>6</c:v>
                </c:pt>
                <c:pt idx="86">
                  <c:v>8</c:v>
                </c:pt>
                <c:pt idx="87">
                  <c:v>1</c:v>
                </c:pt>
                <c:pt idx="88">
                  <c:v>1</c:v>
                </c:pt>
                <c:pt idx="89">
                  <c:v>2</c:v>
                </c:pt>
                <c:pt idx="90">
                  <c:v>3</c:v>
                </c:pt>
                <c:pt idx="91">
                  <c:v>4</c:v>
                </c:pt>
                <c:pt idx="92">
                  <c:v>5</c:v>
                </c:pt>
                <c:pt idx="93">
                  <c:v>6</c:v>
                </c:pt>
                <c:pt idx="94">
                  <c:v>1</c:v>
                </c:pt>
                <c:pt idx="95">
                  <c:v>2</c:v>
                </c:pt>
                <c:pt idx="96">
                  <c:v>1</c:v>
                </c:pt>
                <c:pt idx="97">
                  <c:v>2</c:v>
                </c:pt>
                <c:pt idx="98">
                  <c:v>4</c:v>
                </c:pt>
                <c:pt idx="99">
                  <c:v>6</c:v>
                </c:pt>
                <c:pt idx="100">
                  <c:v>8</c:v>
                </c:pt>
                <c:pt idx="101">
                  <c:v>10</c:v>
                </c:pt>
                <c:pt idx="102">
                  <c:v>12</c:v>
                </c:pt>
                <c:pt idx="103">
                  <c:v>1</c:v>
                </c:pt>
                <c:pt idx="104">
                  <c:v>2</c:v>
                </c:pt>
                <c:pt idx="105">
                  <c:v>3</c:v>
                </c:pt>
                <c:pt idx="106">
                  <c:v>4</c:v>
                </c:pt>
                <c:pt idx="107">
                  <c:v>5</c:v>
                </c:pt>
                <c:pt idx="108">
                  <c:v>6</c:v>
                </c:pt>
                <c:pt idx="109">
                  <c:v>8</c:v>
                </c:pt>
                <c:pt idx="110">
                  <c:v>10</c:v>
                </c:pt>
                <c:pt idx="111">
                  <c:v>0.75</c:v>
                </c:pt>
                <c:pt idx="112">
                  <c:v>1</c:v>
                </c:pt>
                <c:pt idx="113">
                  <c:v>2</c:v>
                </c:pt>
                <c:pt idx="114">
                  <c:v>3</c:v>
                </c:pt>
                <c:pt idx="115">
                  <c:v>4</c:v>
                </c:pt>
                <c:pt idx="116">
                  <c:v>5</c:v>
                </c:pt>
                <c:pt idx="117">
                  <c:v>6</c:v>
                </c:pt>
                <c:pt idx="118">
                  <c:v>8</c:v>
                </c:pt>
                <c:pt idx="119">
                  <c:v>10</c:v>
                </c:pt>
              </c:numCache>
            </c:numRef>
          </c:xVal>
          <c:yVal>
            <c:numRef>
              <c:f>'Drive Table'!$U$3:$U$122</c:f>
              <c:numCache>
                <c:formatCode>"$"#,##0.00</c:formatCode>
                <c:ptCount val="120"/>
                <c:pt idx="0">
                  <c:v>33.497500000000002</c:v>
                </c:pt>
                <c:pt idx="1">
                  <c:v>27.499166666666667</c:v>
                </c:pt>
                <c:pt idx="2">
                  <c:v>31.248750000000001</c:v>
                </c:pt>
                <c:pt idx="3">
                  <c:v>32.999000000000002</c:v>
                </c:pt>
                <c:pt idx="4">
                  <c:v>49.99</c:v>
                </c:pt>
                <c:pt idx="5">
                  <c:v>54.99</c:v>
                </c:pt>
                <c:pt idx="6">
                  <c:v>74.67</c:v>
                </c:pt>
                <c:pt idx="7">
                  <c:v>63.997500000000002</c:v>
                </c:pt>
                <c:pt idx="8">
                  <c:v>76.284000000000006</c:v>
                </c:pt>
                <c:pt idx="9">
                  <c:v>50.254999999999995</c:v>
                </c:pt>
                <c:pt idx="10">
                  <c:v>46.625</c:v>
                </c:pt>
                <c:pt idx="11">
                  <c:v>198.66666666666669</c:v>
                </c:pt>
                <c:pt idx="12">
                  <c:v>324.93888888888887</c:v>
                </c:pt>
                <c:pt idx="13">
                  <c:v>28.331666666666667</c:v>
                </c:pt>
                <c:pt idx="14">
                  <c:v>34.375</c:v>
                </c:pt>
                <c:pt idx="15">
                  <c:v>34.999000000000002</c:v>
                </c:pt>
                <c:pt idx="16">
                  <c:v>51.664999999999999</c:v>
                </c:pt>
                <c:pt idx="17">
                  <c:v>38.402000000000001</c:v>
                </c:pt>
                <c:pt idx="18">
                  <c:v>33.911666666666669</c:v>
                </c:pt>
                <c:pt idx="19">
                  <c:v>25.861499999999999</c:v>
                </c:pt>
                <c:pt idx="20">
                  <c:v>46.99</c:v>
                </c:pt>
                <c:pt idx="21">
                  <c:v>33.494999999999997</c:v>
                </c:pt>
                <c:pt idx="22">
                  <c:v>23.33</c:v>
                </c:pt>
                <c:pt idx="23">
                  <c:v>24.997499999999999</c:v>
                </c:pt>
                <c:pt idx="24">
                  <c:v>49.99</c:v>
                </c:pt>
                <c:pt idx="25">
                  <c:v>42.494999999999997</c:v>
                </c:pt>
                <c:pt idx="26">
                  <c:v>43.330000000000005</c:v>
                </c:pt>
                <c:pt idx="27">
                  <c:v>43.747500000000002</c:v>
                </c:pt>
                <c:pt idx="28">
                  <c:v>41.998000000000005</c:v>
                </c:pt>
                <c:pt idx="29">
                  <c:v>63.994999999999997</c:v>
                </c:pt>
                <c:pt idx="30">
                  <c:v>43.747500000000002</c:v>
                </c:pt>
                <c:pt idx="31">
                  <c:v>42.998000000000005</c:v>
                </c:pt>
                <c:pt idx="32">
                  <c:v>41.664999999999999</c:v>
                </c:pt>
                <c:pt idx="33">
                  <c:v>39.998750000000001</c:v>
                </c:pt>
                <c:pt idx="34">
                  <c:v>42.499000000000002</c:v>
                </c:pt>
                <c:pt idx="35">
                  <c:v>90</c:v>
                </c:pt>
                <c:pt idx="36">
                  <c:v>59.5</c:v>
                </c:pt>
                <c:pt idx="37">
                  <c:v>43.330000000000005</c:v>
                </c:pt>
                <c:pt idx="38">
                  <c:v>39.747500000000002</c:v>
                </c:pt>
                <c:pt idx="39">
                  <c:v>99.99</c:v>
                </c:pt>
                <c:pt idx="40">
                  <c:v>53.9955</c:v>
                </c:pt>
                <c:pt idx="41">
                  <c:v>58.973333333333329</c:v>
                </c:pt>
                <c:pt idx="42">
                  <c:v>44.997500000000002</c:v>
                </c:pt>
                <c:pt idx="43">
                  <c:v>36.7485</c:v>
                </c:pt>
                <c:pt idx="44">
                  <c:v>36.248750000000001</c:v>
                </c:pt>
                <c:pt idx="45">
                  <c:v>43.873750000000001</c:v>
                </c:pt>
                <c:pt idx="46">
                  <c:v>37.325000000000003</c:v>
                </c:pt>
                <c:pt idx="47">
                  <c:v>43.916666666666664</c:v>
                </c:pt>
                <c:pt idx="48">
                  <c:v>182.13</c:v>
                </c:pt>
                <c:pt idx="49">
                  <c:v>164.995</c:v>
                </c:pt>
                <c:pt idx="50">
                  <c:v>75.989999999999995</c:v>
                </c:pt>
                <c:pt idx="51">
                  <c:v>49.994999999999997</c:v>
                </c:pt>
                <c:pt idx="52">
                  <c:v>62.99</c:v>
                </c:pt>
                <c:pt idx="53">
                  <c:v>44.994999999999997</c:v>
                </c:pt>
                <c:pt idx="54">
                  <c:v>62.99</c:v>
                </c:pt>
                <c:pt idx="55">
                  <c:v>42.494999999999997</c:v>
                </c:pt>
                <c:pt idx="56">
                  <c:v>35.996666666666663</c:v>
                </c:pt>
                <c:pt idx="57">
                  <c:v>28.748750000000001</c:v>
                </c:pt>
                <c:pt idx="58">
                  <c:v>30.8325</c:v>
                </c:pt>
                <c:pt idx="59">
                  <c:v>29.374375000000001</c:v>
                </c:pt>
                <c:pt idx="60">
                  <c:v>32.999000000000002</c:v>
                </c:pt>
                <c:pt idx="61">
                  <c:v>72.495000000000005</c:v>
                </c:pt>
                <c:pt idx="62">
                  <c:v>48.19</c:v>
                </c:pt>
                <c:pt idx="63">
                  <c:v>44.998333333333335</c:v>
                </c:pt>
                <c:pt idx="64">
                  <c:v>43.748750000000001</c:v>
                </c:pt>
                <c:pt idx="65">
                  <c:v>42.698</c:v>
                </c:pt>
                <c:pt idx="66">
                  <c:v>47.497500000000002</c:v>
                </c:pt>
                <c:pt idx="67">
                  <c:v>34.997500000000002</c:v>
                </c:pt>
                <c:pt idx="68">
                  <c:v>34.164999999999999</c:v>
                </c:pt>
                <c:pt idx="69">
                  <c:v>29.373750000000001</c:v>
                </c:pt>
                <c:pt idx="70">
                  <c:v>49.99</c:v>
                </c:pt>
                <c:pt idx="71">
                  <c:v>35.994999999999997</c:v>
                </c:pt>
                <c:pt idx="72">
                  <c:v>29.996666666666666</c:v>
                </c:pt>
                <c:pt idx="73">
                  <c:v>28.747499999999999</c:v>
                </c:pt>
                <c:pt idx="74">
                  <c:v>31.998000000000001</c:v>
                </c:pt>
                <c:pt idx="75">
                  <c:v>23.331666666666667</c:v>
                </c:pt>
                <c:pt idx="76">
                  <c:v>32.497500000000002</c:v>
                </c:pt>
                <c:pt idx="77">
                  <c:v>29.998000000000001</c:v>
                </c:pt>
                <c:pt idx="78">
                  <c:v>31.665000000000003</c:v>
                </c:pt>
                <c:pt idx="79">
                  <c:v>31.873750000000001</c:v>
                </c:pt>
                <c:pt idx="80">
                  <c:v>28.331666666666667</c:v>
                </c:pt>
                <c:pt idx="81">
                  <c:v>67.489999999999995</c:v>
                </c:pt>
                <c:pt idx="82">
                  <c:v>59.994999999999997</c:v>
                </c:pt>
                <c:pt idx="83">
                  <c:v>46.247500000000002</c:v>
                </c:pt>
                <c:pt idx="84">
                  <c:v>26.998000000000001</c:v>
                </c:pt>
                <c:pt idx="85">
                  <c:v>36.665833333333332</c:v>
                </c:pt>
                <c:pt idx="86">
                  <c:v>41.248750000000001</c:v>
                </c:pt>
                <c:pt idx="87">
                  <c:v>64.989999999999995</c:v>
                </c:pt>
                <c:pt idx="88">
                  <c:v>49.99</c:v>
                </c:pt>
                <c:pt idx="89">
                  <c:v>29.2455</c:v>
                </c:pt>
                <c:pt idx="90">
                  <c:v>26.66333333333333</c:v>
                </c:pt>
                <c:pt idx="91">
                  <c:v>24.997499999999999</c:v>
                </c:pt>
                <c:pt idx="92">
                  <c:v>47.177999999999997</c:v>
                </c:pt>
                <c:pt idx="93">
                  <c:v>32.831666666666671</c:v>
                </c:pt>
                <c:pt idx="94">
                  <c:v>55.99</c:v>
                </c:pt>
                <c:pt idx="95">
                  <c:v>70.995000000000005</c:v>
                </c:pt>
                <c:pt idx="96">
                  <c:v>84.99</c:v>
                </c:pt>
                <c:pt idx="97">
                  <c:v>59.994999999999997</c:v>
                </c:pt>
                <c:pt idx="98">
                  <c:v>42.497500000000002</c:v>
                </c:pt>
                <c:pt idx="99">
                  <c:v>39.998333333333335</c:v>
                </c:pt>
                <c:pt idx="100">
                  <c:v>42.498750000000001</c:v>
                </c:pt>
                <c:pt idx="101">
                  <c:v>41.499000000000002</c:v>
                </c:pt>
                <c:pt idx="102">
                  <c:v>44.999166666666667</c:v>
                </c:pt>
                <c:pt idx="103">
                  <c:v>54.99</c:v>
                </c:pt>
                <c:pt idx="104">
                  <c:v>42.494999999999997</c:v>
                </c:pt>
                <c:pt idx="105">
                  <c:v>36.663333333333334</c:v>
                </c:pt>
                <c:pt idx="106">
                  <c:v>32.497500000000002</c:v>
                </c:pt>
                <c:pt idx="107">
                  <c:v>52.4</c:v>
                </c:pt>
                <c:pt idx="108">
                  <c:v>35.831666666666671</c:v>
                </c:pt>
                <c:pt idx="109">
                  <c:v>32.498750000000001</c:v>
                </c:pt>
                <c:pt idx="110">
                  <c:v>35.999000000000002</c:v>
                </c:pt>
                <c:pt idx="111">
                  <c:v>73.320000000000007</c:v>
                </c:pt>
                <c:pt idx="112">
                  <c:v>72.989999999999995</c:v>
                </c:pt>
                <c:pt idx="113">
                  <c:v>60.494999999999997</c:v>
                </c:pt>
                <c:pt idx="114">
                  <c:v>69.99666666666667</c:v>
                </c:pt>
                <c:pt idx="115">
                  <c:v>43.747500000000002</c:v>
                </c:pt>
                <c:pt idx="116">
                  <c:v>51.998000000000005</c:v>
                </c:pt>
                <c:pt idx="117">
                  <c:v>38.331666666666671</c:v>
                </c:pt>
                <c:pt idx="118">
                  <c:v>37.498750000000001</c:v>
                </c:pt>
                <c:pt idx="119">
                  <c:v>44.076999999999998</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36924288"/>
        <c:axId val="237213184"/>
      </c:scatterChart>
      <c:valAx>
        <c:axId val="236924288"/>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7213184"/>
        <c:crosses val="autoZero"/>
        <c:crossBetween val="midCat"/>
      </c:valAx>
      <c:valAx>
        <c:axId val="237213184"/>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6924288"/>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455" l="0.70000000000000062" r="0.70000000000000062" t="0.75000000000000455"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21</xdr:col>
      <xdr:colOff>628650</xdr:colOff>
      <xdr:row>2</xdr:row>
      <xdr:rowOff>0</xdr:rowOff>
    </xdr:from>
    <xdr:ext cx="184731" cy="264560"/>
    <xdr:sp macro="" textlink="">
      <xdr:nvSpPr>
        <xdr:cNvPr id="2" name="TextBox 1">
          <a:extLst>
            <a:ext uri="{FF2B5EF4-FFF2-40B4-BE49-F238E27FC236}">
              <a16:creationId xmlns="" xmlns:a16="http://schemas.microsoft.com/office/drawing/2014/main"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0</xdr:colOff>
      <xdr:row>2</xdr:row>
      <xdr:rowOff>28575</xdr:rowOff>
    </xdr:from>
    <xdr:to>
      <xdr:col>14</xdr:col>
      <xdr:colOff>304800</xdr:colOff>
      <xdr:row>16</xdr:row>
      <xdr:rowOff>95250</xdr:rowOff>
    </xdr:to>
    <xdr:graphicFrame macro="">
      <xdr:nvGraphicFramePr>
        <xdr:cNvPr id="2" name="NASAvgByTB"/>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Author" refreshedDate="43014.900207754632" createdVersion="6" refreshedVersion="3" minRefreshableVersion="3" recordCount="120">
  <cacheSource type="worksheet">
    <worksheetSource ref="A2:AA122" sheet="Drive Table"/>
  </cacheSource>
  <cacheFields count="27">
    <cacheField name="Date" numFmtId="14">
      <sharedItems containsSemiMixedTypes="0" containsNonDate="0" containsDate="1" containsString="0" minDate="2017-04-17T00:00:00" maxDate="2017-10-07T00:00:00"/>
    </cacheField>
    <cacheField name="Manu" numFmtId="0">
      <sharedItems/>
    </cacheField>
    <cacheField name="Model" numFmtId="0">
      <sharedItems/>
    </cacheField>
    <cacheField name="Type" numFmtId="0">
      <sharedItems containsBlank="1" count="2">
        <s v="NAS"/>
        <m/>
      </sharedItems>
    </cacheField>
    <cacheField name="SizTB" numFmtId="2">
      <sharedItems containsSemiMixedTypes="0" containsString="0" containsNumber="1" minValue="0.6" maxValue="12" count="12">
        <n v="4"/>
        <n v="6"/>
        <n v="8"/>
        <n v="10"/>
        <n v="1"/>
        <n v="2"/>
        <n v="5"/>
        <n v="0.6"/>
        <n v="1.8"/>
        <n v="12"/>
        <n v="3"/>
        <n v="0.75"/>
      </sharedItems>
    </cacheField>
    <cacheField name="RPM" numFmtId="3">
      <sharedItems containsSemiMixedTypes="0" containsString="0" containsNumber="1" containsInteger="1" minValue="5400" maxValue="15030" count="6">
        <n v="7200"/>
        <n v="5400"/>
        <n v="15030"/>
        <n v="10520"/>
        <n v="5900"/>
        <n v="5760"/>
      </sharedItems>
    </cacheField>
    <cacheField name="AvgLatency" numFmtId="2">
      <sharedItems containsString="0" containsBlank="1" containsNumber="1" minValue="2" maxValue="6"/>
    </cacheField>
    <cacheField name="SeekT" numFmtId="2">
      <sharedItems containsString="0" containsBlank="1" containsNumber="1" minValue="4.4000000000000004" maxValue="15"/>
    </cacheField>
    <cacheField name="PerfCmp" numFmtId="9">
      <sharedItems containsSemiMixedTypes="0" containsString="0" containsNumber="1" minValue="0" maxValue="1.7833333333333332"/>
    </cacheField>
    <cacheField name="XferRate" numFmtId="1">
      <sharedItems containsString="0" containsBlank="1" containsNumber="1" containsInteger="1" minValue="99" maxValue="261"/>
    </cacheField>
    <cacheField name="Warnty" numFmtId="0">
      <sharedItems containsSemiMixedTypes="0" containsString="0" containsNumber="1" containsInteger="1" minValue="2" maxValue="5"/>
    </cacheField>
    <cacheField name="CycleCnt" numFmtId="3">
      <sharedItems containsString="0" containsBlank="1" containsNumber="1" containsInteger="1" minValue="300000" maxValue="600000"/>
    </cacheField>
    <cacheField name="WorkLoad" numFmtId="0">
      <sharedItems containsString="0" containsBlank="1" containsNumber="1" containsInteger="1" minValue="55" maxValue="550"/>
    </cacheField>
    <cacheField name="MTBF" numFmtId="3">
      <sharedItems containsString="0" containsBlank="1" containsNumber="1" containsInteger="1" minValue="500000" maxValue="2500000"/>
    </cacheField>
    <cacheField name="RErrRate" numFmtId="167">
      <sharedItems containsString="0" containsBlank="1" containsNumber="1" containsInteger="1" minValue="100000000000000" maxValue="1E+17"/>
    </cacheField>
    <cacheField name="MaxStartupWatts" numFmtId="2">
      <sharedItems containsString="0" containsBlank="1" containsNumber="1" minValue="4.5" maxValue="31.200000000000003"/>
    </cacheField>
    <cacheField name="Watts Active" numFmtId="2">
      <sharedItems containsString="0" containsBlank="1" containsNumber="1" minValue="1.4" maxValue="11.27"/>
    </cacheField>
    <cacheField name="Watts Idle" numFmtId="2">
      <sharedItems containsString="0" containsBlank="1" containsNumber="1" minValue="0.45" maxValue="8.15"/>
    </cacheField>
    <cacheField name="WattsStandby" numFmtId="168">
      <sharedItems containsString="0" containsBlank="1" containsNumber="1" minValue="3.0000000000000001E-3" maxValue="1.6"/>
    </cacheField>
    <cacheField name="Cost" numFmtId="164">
      <sharedItems containsSemiMixedTypes="0" containsString="0" containsNumber="1" minValue="44.99" maxValue="619.98"/>
    </cacheField>
    <cacheField name="$ TB" numFmtId="164">
      <sharedItems containsSemiMixedTypes="0" containsString="0" containsNumber="1" minValue="23.331666666666667" maxValue="324.93888888888887"/>
    </cacheField>
    <cacheField name="$+Warr" numFmtId="164">
      <sharedItems containsSemiMixedTypes="0" containsString="0" containsNumber="1" minValue="59.8367" maxValue="619.98"/>
    </cacheField>
    <cacheField name="$PerTB" numFmtId="164">
      <sharedItems containsSemiMixedTypes="0" containsString="0" containsNumber="1" minValue="26.998000000000001" maxValue="324.93888888888887"/>
    </cacheField>
    <cacheField name="$ TB/year" numFmtId="164">
      <sharedItems containsSemiMixedTypes="0" containsString="0" containsNumber="1" minValue="5.3996000000000004" maxValue="64.987777777777779"/>
    </cacheField>
    <cacheField name="Comp $/Perf/Size" numFmtId="0">
      <sharedItems containsNonDate="0" containsString="0" containsBlank="1"/>
    </cacheField>
    <cacheField name="Energy$year" numFmtId="0">
      <sharedItems containsString="0" containsBlank="1" containsNumber="1" minValue="0.76700400000000002" maxValue="9.2917056000000002"/>
    </cacheField>
    <cacheField name="Energy$yearPerTB" numFmtId="8">
      <sharedItems containsString="0" containsBlank="1" containsNumber="1" minValue="0.28488720000000006" maxValue="11.21286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20">
  <r>
    <d v="2017-09-06T00:00:00"/>
    <s v="HGST"/>
    <s v="Deskstar NAS"/>
    <x v="0"/>
    <x v="0"/>
    <x v="0"/>
    <m/>
    <n v="11.99"/>
    <n v="0.33333333333333326"/>
    <n v="202"/>
    <n v="3"/>
    <n v="600000"/>
    <m/>
    <n v="1000000"/>
    <n v="100000000000000"/>
    <n v="30"/>
    <m/>
    <n v="7.3"/>
    <m/>
    <n v="133.99"/>
    <n v="33.497500000000002"/>
    <n v="163.46780000000001"/>
    <n v="40.866950000000003"/>
    <n v="8.1733900000000013"/>
    <m/>
    <m/>
    <m/>
  </r>
  <r>
    <d v="2017-09-30T00:00:00"/>
    <s v="HGST"/>
    <s v="Deskstar NAS"/>
    <x v="0"/>
    <x v="1"/>
    <x v="0"/>
    <m/>
    <n v="11.99"/>
    <n v="0.33333333333333326"/>
    <n v="227"/>
    <n v="3"/>
    <n v="600000"/>
    <m/>
    <n v="1000000"/>
    <n v="100000000000000"/>
    <n v="30"/>
    <m/>
    <n v="7.3"/>
    <m/>
    <n v="164.995"/>
    <n v="27.499166666666667"/>
    <n v="201.29390000000001"/>
    <n v="33.548983333333332"/>
    <n v="6.7097966666666666"/>
    <m/>
    <m/>
    <m/>
  </r>
  <r>
    <d v="2017-10-06T00:00:00"/>
    <s v="HGST"/>
    <s v="Deskstar NAS"/>
    <x v="0"/>
    <x v="2"/>
    <x v="0"/>
    <m/>
    <n v="11.99"/>
    <n v="0.33333333333333326"/>
    <n v="205"/>
    <n v="3"/>
    <n v="600000"/>
    <m/>
    <n v="1000000"/>
    <n v="100000000000000"/>
    <n v="30"/>
    <m/>
    <n v="5.0999999999999996"/>
    <m/>
    <n v="249.99"/>
    <n v="31.248750000000001"/>
    <n v="304.98779999999999"/>
    <n v="38.123474999999999"/>
    <n v="7.624695"/>
    <m/>
    <m/>
    <m/>
  </r>
  <r>
    <d v="2017-09-27T00:00:00"/>
    <s v="HGST"/>
    <s v="Deskstar NAS"/>
    <x v="0"/>
    <x v="3"/>
    <x v="0"/>
    <m/>
    <n v="11.99"/>
    <n v="0.33333333333333326"/>
    <n v="240"/>
    <n v="3"/>
    <n v="600000"/>
    <m/>
    <n v="1000000"/>
    <n v="100000000000000"/>
    <n v="30"/>
    <m/>
    <n v="5.0999999999999996"/>
    <m/>
    <n v="329.99"/>
    <n v="32.999000000000002"/>
    <n v="402.58780000000002"/>
    <n v="40.258780000000002"/>
    <n v="8.051756000000001"/>
    <m/>
    <m/>
    <m/>
  </r>
  <r>
    <d v="2017-09-27T00:00:00"/>
    <s v="HGST"/>
    <s v="Travelstar 5K100 2.5&quot;"/>
    <x v="1"/>
    <x v="4"/>
    <x v="1"/>
    <n v="5.5"/>
    <n v="12"/>
    <n v="0"/>
    <n v="99"/>
    <n v="3"/>
    <n v="600000"/>
    <m/>
    <m/>
    <m/>
    <n v="4.5"/>
    <n v="1.6"/>
    <n v="0.8"/>
    <n v="0.2"/>
    <n v="49.99"/>
    <n v="49.99"/>
    <n v="60.9878"/>
    <n v="60.9878"/>
    <n v="12.197559999999999"/>
    <m/>
    <m/>
    <m/>
  </r>
  <r>
    <d v="2017-09-27T00:00:00"/>
    <s v="HGST"/>
    <s v="Travelstar 7K100 2.5&quot;"/>
    <x v="1"/>
    <x v="4"/>
    <x v="0"/>
    <n v="4.2"/>
    <n v="12"/>
    <n v="0.33333333333333326"/>
    <n v="128"/>
    <n v="3"/>
    <n v="600000"/>
    <m/>
    <m/>
    <m/>
    <n v="5.5"/>
    <n v="1.8"/>
    <n v="1"/>
    <n v="0.2"/>
    <n v="54.99"/>
    <n v="54.99"/>
    <n v="67.087800000000001"/>
    <n v="67.087800000000001"/>
    <n v="13.41756"/>
    <m/>
    <m/>
    <m/>
  </r>
  <r>
    <d v="2017-09-06T00:00:00"/>
    <s v="HGST"/>
    <s v="Ultrastar 7K6"/>
    <x v="0"/>
    <x v="5"/>
    <x v="0"/>
    <n v="4.16"/>
    <n v="8"/>
    <n v="0.33333333333333326"/>
    <n v="202"/>
    <n v="5"/>
    <n v="600000"/>
    <m/>
    <n v="2000000"/>
    <n v="1000000000000000"/>
    <m/>
    <n v="9.1"/>
    <n v="7.1"/>
    <m/>
    <n v="149.34"/>
    <n v="74.67"/>
    <n v="149.34"/>
    <n v="74.67"/>
    <n v="14.934000000000001"/>
    <m/>
    <n v="8.2179000000000002"/>
    <n v="4.1089500000000001"/>
  </r>
  <r>
    <d v="2017-09-06T00:00:00"/>
    <s v="HGST"/>
    <s v="Ultrastar 7K6"/>
    <x v="0"/>
    <x v="0"/>
    <x v="0"/>
    <n v="4.16"/>
    <n v="8"/>
    <n v="0.33333333333333326"/>
    <n v="202"/>
    <n v="5"/>
    <n v="600000"/>
    <m/>
    <n v="2000000"/>
    <n v="1000000000000000"/>
    <m/>
    <n v="9.1"/>
    <n v="7.1"/>
    <m/>
    <n v="255.99"/>
    <n v="63.997500000000002"/>
    <n v="255.99"/>
    <n v="63.997500000000002"/>
    <n v="12.7995"/>
    <m/>
    <n v="8.2179000000000002"/>
    <n v="2.0544750000000001"/>
  </r>
  <r>
    <d v="2017-09-06T00:00:00"/>
    <s v="HGST"/>
    <s v="Ultrastar 7K6"/>
    <x v="0"/>
    <x v="6"/>
    <x v="0"/>
    <n v="4.16"/>
    <n v="8"/>
    <n v="0.33333333333333326"/>
    <n v="202"/>
    <n v="5"/>
    <n v="600000"/>
    <m/>
    <n v="2000000"/>
    <n v="1000000000000000"/>
    <m/>
    <n v="9.1"/>
    <n v="7.1"/>
    <m/>
    <n v="381.42"/>
    <n v="76.284000000000006"/>
    <n v="381.42"/>
    <n v="76.284000000000006"/>
    <n v="15.256800000000002"/>
    <m/>
    <n v="8.2179000000000002"/>
    <n v="1.64358"/>
  </r>
  <r>
    <d v="2017-09-06T00:00:00"/>
    <s v="HGST"/>
    <s v="Ultrastar 7K6"/>
    <x v="0"/>
    <x v="1"/>
    <x v="0"/>
    <n v="4.16"/>
    <n v="8"/>
    <n v="0.33333333333333326"/>
    <n v="227"/>
    <n v="5"/>
    <n v="600000"/>
    <m/>
    <n v="2000000"/>
    <n v="1000000000000000"/>
    <m/>
    <n v="9.1"/>
    <n v="7.1"/>
    <m/>
    <n v="301.52999999999997"/>
    <n v="50.254999999999995"/>
    <n v="301.52999999999997"/>
    <n v="50.254999999999995"/>
    <n v="10.050999999999998"/>
    <m/>
    <n v="8.2179000000000002"/>
    <n v="1.36965"/>
  </r>
  <r>
    <d v="2017-04-21T00:00:00"/>
    <s v="HGST"/>
    <s v="Ultrastar Archive Ha10"/>
    <x v="1"/>
    <x v="2"/>
    <x v="0"/>
    <m/>
    <m/>
    <n v="0.33333333333333326"/>
    <m/>
    <n v="5"/>
    <m/>
    <m/>
    <m/>
    <m/>
    <m/>
    <n v="7.6"/>
    <n v="5.0999999999999996"/>
    <m/>
    <n v="373"/>
    <n v="46.625"/>
    <n v="373"/>
    <n v="46.625"/>
    <n v="9.3249999999999993"/>
    <m/>
    <n v="6.1360319999999993"/>
    <n v="0.76700399999999991"/>
  </r>
  <r>
    <d v="2017-09-06T00:00:00"/>
    <s v="HGST"/>
    <s v="Ultrastar C15K600 2.5&quot;"/>
    <x v="0"/>
    <x v="7"/>
    <x v="2"/>
    <n v="2"/>
    <m/>
    <n v="1.7833333333333332"/>
    <n v="250"/>
    <n v="5"/>
    <m/>
    <m/>
    <n v="2000000"/>
    <n v="1E+17"/>
    <m/>
    <n v="7.5"/>
    <n v="5.8"/>
    <m/>
    <n v="119.2"/>
    <n v="198.66666666666669"/>
    <n v="119.2"/>
    <n v="198.66666666666669"/>
    <n v="39.733333333333334"/>
    <m/>
    <n v="6.7277208000000002"/>
    <n v="11.212868"/>
  </r>
  <r>
    <d v="2017-09-06T00:00:00"/>
    <s v="HGST"/>
    <s v="Ultrastar C10K1800 2.5&quot;"/>
    <x v="0"/>
    <x v="8"/>
    <x v="3"/>
    <n v="2.85"/>
    <n v="4.4000000000000004"/>
    <n v="0.94814814814814818"/>
    <n v="224"/>
    <n v="5"/>
    <m/>
    <m/>
    <n v="2000000"/>
    <n v="1E+16"/>
    <m/>
    <n v="7.4"/>
    <n v="5.0999999999999996"/>
    <n v="3.0000000000000001E-3"/>
    <n v="584.89"/>
    <n v="324.93888888888887"/>
    <n v="584.89"/>
    <n v="324.93888888888887"/>
    <n v="64.987777777777779"/>
    <m/>
    <n v="6.0922031999999993"/>
    <n v="3.384557333333333"/>
  </r>
  <r>
    <d v="2017-09-27T00:00:00"/>
    <s v="HGST"/>
    <s v="Ultrastar He6"/>
    <x v="0"/>
    <x v="1"/>
    <x v="0"/>
    <n v="4.16"/>
    <n v="9"/>
    <n v="0.33333333333333326"/>
    <n v="195"/>
    <n v="5"/>
    <n v="600000"/>
    <n v="550"/>
    <n v="2500000"/>
    <n v="1000000000000000"/>
    <m/>
    <n v="7.4"/>
    <n v="5.0999999999999996"/>
    <m/>
    <n v="169.99"/>
    <n v="28.331666666666667"/>
    <n v="169.99"/>
    <n v="28.331666666666667"/>
    <n v="5.6663333333333332"/>
    <m/>
    <n v="6.0922031999999993"/>
    <n v="1.0153671999999998"/>
  </r>
  <r>
    <d v="2017-09-27T00:00:00"/>
    <s v="HGST"/>
    <s v="Ultrastar He8"/>
    <x v="0"/>
    <x v="2"/>
    <x v="0"/>
    <n v="4.16"/>
    <n v="8.5"/>
    <n v="0.33333333333333326"/>
    <n v="237"/>
    <n v="5"/>
    <n v="600000"/>
    <n v="550"/>
    <n v="2500000"/>
    <n v="1000000000000000"/>
    <m/>
    <n v="7.4"/>
    <n v="5.0999999999999996"/>
    <m/>
    <n v="275"/>
    <n v="34.375"/>
    <n v="275"/>
    <n v="34.375"/>
    <n v="6.875"/>
    <m/>
    <n v="6.0922031999999993"/>
    <n v="0.76152539999999991"/>
  </r>
  <r>
    <d v="2017-09-27T00:00:00"/>
    <s v="HGST"/>
    <s v="Ultrastar He10"/>
    <x v="0"/>
    <x v="3"/>
    <x v="0"/>
    <n v="4.16"/>
    <n v="8"/>
    <n v="0.33333333333333326"/>
    <n v="237"/>
    <n v="5"/>
    <n v="600000"/>
    <n v="550"/>
    <n v="2500000"/>
    <n v="1000000000000000"/>
    <m/>
    <n v="6.8"/>
    <n v="5"/>
    <m/>
    <n v="349.99"/>
    <n v="34.999000000000002"/>
    <n v="349.99"/>
    <n v="34.999000000000002"/>
    <n v="6.9998000000000005"/>
    <m/>
    <n v="5.8730592000000001"/>
    <n v="0.58730592000000004"/>
  </r>
  <r>
    <d v="2017-09-27T00:00:00"/>
    <s v="HGST"/>
    <s v="Ultrastar He12"/>
    <x v="0"/>
    <x v="9"/>
    <x v="0"/>
    <n v="4.16"/>
    <n v="8.6"/>
    <n v="0.33333333333333326"/>
    <n v="243"/>
    <n v="5"/>
    <n v="600000"/>
    <n v="550"/>
    <n v="2500000"/>
    <n v="1000000000000000"/>
    <m/>
    <n v="7.2"/>
    <n v="5.3"/>
    <m/>
    <n v="619.98"/>
    <n v="51.664999999999999"/>
    <n v="619.98"/>
    <n v="51.664999999999999"/>
    <n v="10.333"/>
    <m/>
    <n v="6.2236896000000002"/>
    <n v="0.51864080000000001"/>
  </r>
  <r>
    <d v="2017-08-14T00:00:00"/>
    <s v="Seagate"/>
    <s v="Archive"/>
    <x v="1"/>
    <x v="6"/>
    <x v="4"/>
    <m/>
    <m/>
    <n v="9.259259259259256E-2"/>
    <n v="146"/>
    <n v="3"/>
    <n v="300000"/>
    <n v="180"/>
    <n v="800000"/>
    <n v="100000000000000"/>
    <n v="24"/>
    <n v="5.5"/>
    <n v="3.5"/>
    <n v="0.74"/>
    <n v="192.01"/>
    <n v="38.402000000000001"/>
    <n v="234.25219999999999"/>
    <n v="46.850439999999999"/>
    <n v="9.3700879999999991"/>
    <m/>
    <n v="4.2733080000000001"/>
    <n v="0.85466160000000002"/>
  </r>
  <r>
    <d v="2017-08-14T00:00:00"/>
    <s v="Seagate"/>
    <s v="Archive"/>
    <x v="1"/>
    <x v="1"/>
    <x v="4"/>
    <m/>
    <m/>
    <n v="9.259259259259256E-2"/>
    <n v="150"/>
    <n v="3"/>
    <n v="300000"/>
    <n v="180"/>
    <n v="800000"/>
    <n v="100000000000000"/>
    <n v="24"/>
    <n v="7.5"/>
    <n v="5"/>
    <n v="0.99"/>
    <n v="203.47"/>
    <n v="33.911666666666669"/>
    <n v="248.23339999999999"/>
    <n v="41.372233333333334"/>
    <n v="8.2744466666666661"/>
    <m/>
    <n v="6.0264600000000002"/>
    <n v="1.00441"/>
  </r>
  <r>
    <d v="2017-08-14T00:00:00"/>
    <s v="Seagate"/>
    <s v="Archive"/>
    <x v="1"/>
    <x v="2"/>
    <x v="4"/>
    <m/>
    <m/>
    <n v="9.259259259259256E-2"/>
    <n v="150"/>
    <n v="3"/>
    <n v="300000"/>
    <n v="180"/>
    <n v="800000"/>
    <n v="100000000000000"/>
    <n v="24"/>
    <n v="7.5"/>
    <n v="5"/>
    <n v="0.99"/>
    <n v="206.892"/>
    <n v="25.861499999999999"/>
    <n v="252.40823999999998"/>
    <n v="31.551029999999997"/>
    <n v="6.3102059999999991"/>
    <m/>
    <n v="6.0264600000000002"/>
    <n v="0.75330750000000002"/>
  </r>
  <r>
    <d v="2017-09-29T00:00:00"/>
    <s v="Seagate"/>
    <s v="BarraCuda"/>
    <x v="1"/>
    <x v="4"/>
    <x v="1"/>
    <n v="4.16"/>
    <n v="9.5"/>
    <n v="0"/>
    <n v="210"/>
    <n v="2"/>
    <n v="300000"/>
    <n v="55"/>
    <m/>
    <n v="100000000000000"/>
    <n v="24"/>
    <n v="5.3"/>
    <n v="4.5999999999999996"/>
    <n v="0.94"/>
    <n v="46.99"/>
    <n v="46.99"/>
    <n v="62.496700000000004"/>
    <n v="62.496700000000004"/>
    <n v="12.49934"/>
    <m/>
    <n v="5.1937128000000001"/>
    <n v="5.1937128000000001"/>
  </r>
  <r>
    <d v="2017-09-27T00:00:00"/>
    <s v="Seagate"/>
    <s v="BarraCuda"/>
    <x v="1"/>
    <x v="5"/>
    <x v="1"/>
    <n v="6"/>
    <n v="15"/>
    <n v="0"/>
    <n v="210"/>
    <n v="2"/>
    <n v="600000"/>
    <n v="55"/>
    <m/>
    <n v="100000000000000"/>
    <n v="30"/>
    <n v="8"/>
    <n v="5.4"/>
    <n v="0.75"/>
    <n v="66.989999999999995"/>
    <n v="33.494999999999997"/>
    <n v="89.096699999999998"/>
    <n v="44.548349999999999"/>
    <n v="8.9096700000000002"/>
    <m/>
    <n v="6.486662400000001"/>
    <n v="3.2433312000000005"/>
  </r>
  <r>
    <d v="2017-09-26T00:00:00"/>
    <s v="Seagate"/>
    <s v="BarraCuda"/>
    <x v="1"/>
    <x v="10"/>
    <x v="1"/>
    <n v="6"/>
    <n v="15"/>
    <n v="0"/>
    <n v="210"/>
    <n v="2"/>
    <n v="600000"/>
    <n v="55"/>
    <m/>
    <n v="100000000000000"/>
    <n v="30"/>
    <n v="8"/>
    <n v="5.4"/>
    <n v="0.75"/>
    <n v="89.99"/>
    <n v="29.996666666666666"/>
    <n v="119.6867"/>
    <n v="39.895566666666667"/>
    <n v="7.9791133333333333"/>
    <m/>
    <n v="6.486662400000001"/>
    <n v="2.1622208000000005"/>
  </r>
  <r>
    <d v="2017-09-26T00:00:00"/>
    <s v="Seagate"/>
    <s v="BarraCuda"/>
    <x v="1"/>
    <x v="0"/>
    <x v="1"/>
    <n v="6"/>
    <n v="15"/>
    <n v="0"/>
    <n v="190"/>
    <n v="2"/>
    <n v="600000"/>
    <n v="55"/>
    <m/>
    <n v="100000000000000"/>
    <n v="24"/>
    <n v="5"/>
    <n v="2.5"/>
    <n v="0.25"/>
    <n v="99.99"/>
    <n v="24.997499999999999"/>
    <n v="132.98669999999998"/>
    <n v="33.246674999999996"/>
    <n v="6.6493349999999989"/>
    <m/>
    <n v="3.2871600000000001"/>
    <n v="0.82179000000000002"/>
  </r>
  <r>
    <d v="2017-07-31T00:00:00"/>
    <s v="Seagate"/>
    <s v="BarraCuda 2.5&quot;"/>
    <x v="1"/>
    <x v="4"/>
    <x v="1"/>
    <m/>
    <m/>
    <n v="0"/>
    <n v="140"/>
    <n v="2"/>
    <n v="600000"/>
    <m/>
    <m/>
    <n v="100000000000000"/>
    <n v="5"/>
    <n v="1.7"/>
    <n v="0.45"/>
    <m/>
    <n v="49.99"/>
    <n v="49.99"/>
    <n v="66.486699999999999"/>
    <n v="66.486699999999999"/>
    <n v="13.29734"/>
    <m/>
    <n v="0.76700400000000002"/>
    <n v="0.76700400000000002"/>
  </r>
  <r>
    <d v="2017-07-31T00:00:00"/>
    <s v="Seagate"/>
    <s v="BarraCuda 2.5&quot;"/>
    <x v="1"/>
    <x v="5"/>
    <x v="1"/>
    <m/>
    <m/>
    <n v="0"/>
    <n v="140"/>
    <n v="2"/>
    <n v="600000"/>
    <m/>
    <m/>
    <n v="100000000000000"/>
    <n v="5"/>
    <n v="1.8"/>
    <n v="0.5"/>
    <m/>
    <n v="84.99"/>
    <n v="42.494999999999997"/>
    <n v="113.0367"/>
    <n v="56.518349999999998"/>
    <n v="11.30367"/>
    <m/>
    <n v="0.83274720000000002"/>
    <n v="0.41637360000000001"/>
  </r>
  <r>
    <d v="2017-07-31T00:00:00"/>
    <s v="Seagate"/>
    <s v="BarraCuda 2.5&quot;"/>
    <x v="1"/>
    <x v="10"/>
    <x v="1"/>
    <m/>
    <m/>
    <n v="0"/>
    <n v="140"/>
    <n v="2"/>
    <n v="600000"/>
    <m/>
    <m/>
    <n v="100000000000000"/>
    <n v="6"/>
    <n v="2.1"/>
    <n v="1.1000000000000001"/>
    <m/>
    <n v="129.99"/>
    <n v="43.330000000000005"/>
    <n v="172.88670000000002"/>
    <n v="57.628900000000009"/>
    <n v="11.525780000000001"/>
    <m/>
    <n v="1.4244360000000003"/>
    <n v="0.47481200000000007"/>
  </r>
  <r>
    <d v="2017-07-31T00:00:00"/>
    <s v="Seagate"/>
    <s v="BarraCuda 2.5&quot;"/>
    <x v="1"/>
    <x v="0"/>
    <x v="1"/>
    <m/>
    <m/>
    <n v="0"/>
    <n v="140"/>
    <n v="2"/>
    <n v="600000"/>
    <m/>
    <m/>
    <n v="100000000000000"/>
    <n v="6"/>
    <n v="2.1"/>
    <n v="1.1000000000000001"/>
    <m/>
    <n v="174.99"/>
    <n v="43.747500000000002"/>
    <n v="232.73670000000001"/>
    <n v="58.184175000000003"/>
    <n v="11.636835000000001"/>
    <m/>
    <n v="1.4244360000000003"/>
    <n v="0.35610900000000006"/>
  </r>
  <r>
    <d v="2017-07-31T00:00:00"/>
    <s v="Seagate"/>
    <s v="BarraCuda 2.5&quot;"/>
    <x v="1"/>
    <x v="6"/>
    <x v="1"/>
    <m/>
    <m/>
    <n v="0"/>
    <n v="140"/>
    <n v="2"/>
    <n v="600000"/>
    <m/>
    <m/>
    <n v="100000000000000"/>
    <n v="6"/>
    <n v="2.1"/>
    <n v="1.1000000000000001"/>
    <m/>
    <n v="209.99"/>
    <n v="41.998000000000005"/>
    <n v="279.2867"/>
    <n v="55.857340000000001"/>
    <n v="11.171468000000001"/>
    <m/>
    <n v="1.4244360000000003"/>
    <n v="0.28488720000000006"/>
  </r>
  <r>
    <d v="2017-09-23T00:00:00"/>
    <s v="Seagate"/>
    <s v="BarraCuda Pro"/>
    <x v="1"/>
    <x v="5"/>
    <x v="0"/>
    <n v="4.16"/>
    <m/>
    <n v="0.33333333333333326"/>
    <n v="195"/>
    <n v="5"/>
    <n v="600000"/>
    <n v="180"/>
    <m/>
    <n v="1000000000000000"/>
    <n v="24"/>
    <n v="7.5"/>
    <n v="4.5"/>
    <n v="0.8"/>
    <n v="127.99"/>
    <n v="63.994999999999997"/>
    <n v="127.99"/>
    <n v="63.994999999999997"/>
    <n v="12.798999999999999"/>
    <m/>
    <n v="5.5881720000000001"/>
    <n v="2.7940860000000001"/>
  </r>
  <r>
    <d v="2017-09-23T00:00:00"/>
    <s v="Seagate"/>
    <s v="BarraCuda Pro"/>
    <x v="1"/>
    <x v="0"/>
    <x v="0"/>
    <n v="4.16"/>
    <m/>
    <n v="0.33333333333333326"/>
    <n v="214"/>
    <n v="5"/>
    <n v="600000"/>
    <n v="180"/>
    <m/>
    <n v="1000000000000000"/>
    <n v="24"/>
    <n v="6.7"/>
    <n v="6"/>
    <n v="0.6"/>
    <n v="174.99"/>
    <n v="43.747500000000002"/>
    <n v="174.99"/>
    <n v="43.747500000000002"/>
    <n v="8.7495000000000012"/>
    <m/>
    <n v="6.7277208000000002"/>
    <n v="1.6819302"/>
  </r>
  <r>
    <d v="2017-05-06T00:00:00"/>
    <s v="Seagate"/>
    <s v="BarraCuda Pro"/>
    <x v="1"/>
    <x v="6"/>
    <x v="0"/>
    <n v="4.16"/>
    <m/>
    <n v="0.33333333333333326"/>
    <n v="220"/>
    <n v="5"/>
    <n v="300000"/>
    <n v="300"/>
    <m/>
    <n v="1000000000000000"/>
    <n v="23.28"/>
    <n v="8.3699999999999992"/>
    <n v="4.42"/>
    <n v="0.8"/>
    <n v="214.99"/>
    <n v="42.998000000000005"/>
    <n v="214.99"/>
    <n v="42.998000000000005"/>
    <n v="8.5996000000000006"/>
    <m/>
    <n v="5.7087012000000001"/>
    <n v="1.1417402400000001"/>
  </r>
  <r>
    <d v="2017-09-23T00:00:00"/>
    <s v="Seagate"/>
    <s v="BarraCuda Pro"/>
    <x v="1"/>
    <x v="1"/>
    <x v="0"/>
    <n v="4.16"/>
    <m/>
    <n v="0.33333333333333326"/>
    <n v="180"/>
    <n v="5"/>
    <n v="300000"/>
    <n v="300"/>
    <m/>
    <n v="1000000000000000"/>
    <n v="24"/>
    <n v="9"/>
    <n v="7.2"/>
    <n v="0.6"/>
    <n v="249.99"/>
    <n v="41.664999999999999"/>
    <n v="249.99"/>
    <n v="41.664999999999999"/>
    <n v="8.3330000000000002"/>
    <m/>
    <n v="8.2836432000000002"/>
    <n v="1.3806072"/>
  </r>
  <r>
    <d v="2017-09-23T00:00:00"/>
    <s v="Seagate"/>
    <s v="BarraCuda Pro"/>
    <x v="1"/>
    <x v="2"/>
    <x v="0"/>
    <n v="4.16"/>
    <m/>
    <n v="0.33333333333333326"/>
    <n v="220"/>
    <n v="5"/>
    <n v="300000"/>
    <n v="300"/>
    <m/>
    <n v="1000000000000000"/>
    <n v="24"/>
    <n v="6.8"/>
    <n v="4.5"/>
    <n v="0.8"/>
    <n v="319.99"/>
    <n v="39.998750000000001"/>
    <n v="319.99"/>
    <n v="39.998750000000001"/>
    <n v="7.9997500000000006"/>
    <m/>
    <n v="5.4347712000000001"/>
    <n v="0.67934640000000002"/>
  </r>
  <r>
    <d v="2017-09-23T00:00:00"/>
    <s v="Seagate"/>
    <s v="BarraCuda Pro"/>
    <x v="1"/>
    <x v="3"/>
    <x v="0"/>
    <n v="4.16"/>
    <m/>
    <n v="0.33333333333333326"/>
    <n v="220"/>
    <n v="5"/>
    <n v="300000"/>
    <n v="300"/>
    <m/>
    <n v="1000000000000000"/>
    <n v="21.6"/>
    <n v="6.8"/>
    <n v="4.5"/>
    <n v="0.8"/>
    <n v="424.99"/>
    <n v="42.499000000000002"/>
    <n v="424.99"/>
    <n v="42.499000000000002"/>
    <n v="8.4998000000000005"/>
    <m/>
    <n v="5.4347712000000001"/>
    <n v="0.54347712000000004"/>
  </r>
  <r>
    <d v="2017-09-03T00:00:00"/>
    <s v="Seagate"/>
    <s v="Constellation ES.3 "/>
    <x v="0"/>
    <x v="4"/>
    <x v="0"/>
    <n v="4.16"/>
    <m/>
    <n v="0.33333333333333326"/>
    <n v="175"/>
    <n v="5"/>
    <m/>
    <m/>
    <n v="2000000"/>
    <n v="1000000000000000"/>
    <n v="31.200000000000003"/>
    <n v="8.08"/>
    <n v="4.45"/>
    <n v="0.8"/>
    <n v="90"/>
    <n v="90"/>
    <n v="90"/>
    <n v="90"/>
    <n v="18"/>
    <m/>
    <n v="5.6714467200000014"/>
    <n v="5.6714467200000014"/>
  </r>
  <r>
    <d v="2017-09-03T00:00:00"/>
    <s v="Seagate"/>
    <s v="Constellation ES.3 "/>
    <x v="0"/>
    <x v="5"/>
    <x v="0"/>
    <n v="4.16"/>
    <m/>
    <n v="0.33333333333333326"/>
    <n v="175"/>
    <n v="5"/>
    <m/>
    <m/>
    <n v="2000000"/>
    <n v="1000000000000000"/>
    <n v="31.200000000000003"/>
    <n v="9.42"/>
    <n v="5.17"/>
    <n v="0.87"/>
    <n v="119"/>
    <n v="59.5"/>
    <n v="119"/>
    <n v="59.5"/>
    <n v="11.9"/>
    <m/>
    <n v="6.5962344000000002"/>
    <n v="3.2981172000000001"/>
  </r>
  <r>
    <d v="2017-09-03T00:00:00"/>
    <s v="Seagate"/>
    <s v="Constellation ES.3 "/>
    <x v="0"/>
    <x v="10"/>
    <x v="0"/>
    <n v="4.16"/>
    <m/>
    <n v="0.33333333333333326"/>
    <n v="175"/>
    <n v="5"/>
    <m/>
    <m/>
    <n v="2000000"/>
    <n v="1000000000000000"/>
    <n v="31.200000000000003"/>
    <n v="11.27"/>
    <n v="6.73"/>
    <n v="0.87"/>
    <n v="129.99"/>
    <n v="43.330000000000005"/>
    <n v="129.99"/>
    <n v="43.330000000000005"/>
    <n v="8.6660000000000004"/>
    <m/>
    <n v="8.3691093600000013"/>
    <n v="2.7897031200000004"/>
  </r>
  <r>
    <d v="2017-09-03T00:00:00"/>
    <s v="Seagate"/>
    <s v="Constellation ES.3 "/>
    <x v="0"/>
    <x v="0"/>
    <x v="0"/>
    <n v="4.16"/>
    <m/>
    <n v="0.33333333333333326"/>
    <n v="175"/>
    <n v="5"/>
    <m/>
    <m/>
    <n v="2000000"/>
    <n v="1000000000000000"/>
    <n v="31.200000000000003"/>
    <n v="11.27"/>
    <n v="6.73"/>
    <n v="0.87"/>
    <n v="158.99"/>
    <n v="39.747500000000002"/>
    <n v="158.99"/>
    <n v="39.747500000000002"/>
    <n v="7.9495000000000005"/>
    <m/>
    <n v="8.3691093600000013"/>
    <n v="2.0922773400000003"/>
  </r>
  <r>
    <d v="2017-08-24T00:00:00"/>
    <s v="Seagate"/>
    <s v="Enterprise Capacity v5"/>
    <x v="0"/>
    <x v="4"/>
    <x v="0"/>
    <n v="4.16"/>
    <m/>
    <n v="0.33333333333333326"/>
    <n v="215"/>
    <n v="5"/>
    <m/>
    <n v="550"/>
    <n v="2000000"/>
    <n v="1000000000000000"/>
    <m/>
    <n v="5.91"/>
    <n v="4.25"/>
    <m/>
    <n v="99.99"/>
    <n v="99.99"/>
    <n v="99.99"/>
    <n v="99.99"/>
    <n v="19.997999999999998"/>
    <m/>
    <n v="5.0205890399999999"/>
    <n v="5.0205890399999999"/>
  </r>
  <r>
    <d v="2017-08-23T00:00:00"/>
    <s v="Seagate"/>
    <s v="Enterprise Capacity v5"/>
    <x v="0"/>
    <x v="5"/>
    <x v="0"/>
    <n v="4.16"/>
    <m/>
    <n v="0.33333333333333326"/>
    <n v="226"/>
    <n v="5"/>
    <m/>
    <n v="550"/>
    <n v="2000000"/>
    <n v="1000000000000000"/>
    <m/>
    <n v="5.91"/>
    <n v="4.25"/>
    <n v="0.6"/>
    <n v="107.991"/>
    <n v="53.9955"/>
    <n v="107.991"/>
    <n v="53.9955"/>
    <n v="10.799099999999999"/>
    <m/>
    <n v="5.0205890399999999"/>
    <n v="2.51029452"/>
  </r>
  <r>
    <d v="2017-08-24T00:00:00"/>
    <s v="Seagate"/>
    <s v="Enterprise Capacity v5"/>
    <x v="0"/>
    <x v="10"/>
    <x v="0"/>
    <n v="4.16"/>
    <m/>
    <n v="0.33333333333333326"/>
    <n v="215"/>
    <n v="5"/>
    <m/>
    <n v="550"/>
    <n v="2000000"/>
    <n v="1000000000000000"/>
    <m/>
    <n v="6.9"/>
    <n v="5.45"/>
    <n v="0.6"/>
    <n v="176.92"/>
    <n v="58.973333333333329"/>
    <n v="176.92"/>
    <n v="58.973333333333329"/>
    <n v="11.794666666666666"/>
    <m/>
    <n v="6.2894328000000002"/>
    <n v="2.0964776000000001"/>
  </r>
  <r>
    <d v="2017-08-23T00:00:00"/>
    <s v="Seagate"/>
    <s v="Enterprise Capacity v5"/>
    <x v="0"/>
    <x v="0"/>
    <x v="0"/>
    <n v="4.16"/>
    <m/>
    <n v="0.33333333333333326"/>
    <n v="226"/>
    <n v="5"/>
    <m/>
    <n v="550"/>
    <n v="2000000"/>
    <n v="1000000000000000"/>
    <m/>
    <n v="6.9"/>
    <n v="5.45"/>
    <n v="0.6"/>
    <n v="179.99"/>
    <n v="44.997500000000002"/>
    <n v="179.99"/>
    <n v="44.997500000000002"/>
    <n v="8.9995000000000012"/>
    <m/>
    <n v="6.2894328000000002"/>
    <n v="1.5723582"/>
  </r>
  <r>
    <d v="2017-09-15T00:00:00"/>
    <s v="Seagate"/>
    <s v="Enterprise Capacity v5"/>
    <x v="0"/>
    <x v="1"/>
    <x v="0"/>
    <n v="4.16"/>
    <m/>
    <n v="0.33333333333333326"/>
    <n v="226"/>
    <n v="5"/>
    <m/>
    <n v="550"/>
    <n v="2000000"/>
    <n v="1000000000000000"/>
    <m/>
    <n v="9.8000000000000007"/>
    <n v="8.15"/>
    <n v="0.6"/>
    <n v="220.49100000000001"/>
    <n v="36.7485"/>
    <n v="220.49100000000001"/>
    <n v="36.7485"/>
    <n v="7.3497000000000003"/>
    <m/>
    <n v="9.2917056000000002"/>
    <n v="1.5486176"/>
  </r>
  <r>
    <d v="2017-08-23T00:00:00"/>
    <s v="Seagate"/>
    <s v="Enterprise Capacity v5"/>
    <x v="0"/>
    <x v="2"/>
    <x v="0"/>
    <n v="4.16"/>
    <m/>
    <n v="0.33333333333333326"/>
    <n v="249"/>
    <n v="5"/>
    <m/>
    <n v="550"/>
    <n v="2000000"/>
    <n v="1000000000000000"/>
    <m/>
    <n v="11"/>
    <n v="7.6"/>
    <n v="0.6"/>
    <n v="289.99"/>
    <n v="36.248750000000001"/>
    <n v="289.99"/>
    <n v="36.248750000000001"/>
    <n v="7.2497500000000006"/>
    <m/>
    <n v="9.0725616000000002"/>
    <n v="1.1340702"/>
  </r>
  <r>
    <d v="2017-09-03T00:00:00"/>
    <s v="Seagate"/>
    <s v="Enterprise Capacity He v6"/>
    <x v="0"/>
    <x v="2"/>
    <x v="0"/>
    <n v="4.16"/>
    <m/>
    <n v="0.33333333333333326"/>
    <n v="237"/>
    <n v="5"/>
    <n v="600000"/>
    <n v="550"/>
    <n v="2500000"/>
    <n v="1000000000000000"/>
    <n v="26.21"/>
    <n v="7.8"/>
    <n v="5"/>
    <n v="0.8"/>
    <n v="350.99"/>
    <n v="43.873750000000001"/>
    <n v="350.99"/>
    <n v="43.873750000000001"/>
    <n v="8.7747500000000009"/>
    <m/>
    <n v="6.0922032000000002"/>
    <n v="0.76152540000000002"/>
  </r>
  <r>
    <d v="2017-09-03T00:00:00"/>
    <s v="Seagate"/>
    <s v="Enterprise Capacity He v6"/>
    <x v="0"/>
    <x v="3"/>
    <x v="0"/>
    <n v="4.16"/>
    <m/>
    <n v="0.33333333333333326"/>
    <n v="237"/>
    <n v="5"/>
    <n v="600000"/>
    <n v="550"/>
    <n v="2500000"/>
    <n v="1000000000000000"/>
    <n v="26.18"/>
    <n v="7.8"/>
    <n v="5"/>
    <n v="0.8"/>
    <n v="373.25"/>
    <n v="37.325000000000003"/>
    <n v="373.25"/>
    <n v="37.325000000000003"/>
    <n v="7.4650000000000007"/>
    <m/>
    <n v="6.0922032000000002"/>
    <n v="0.60922032000000004"/>
  </r>
  <r>
    <d v="2017-09-03T00:00:00"/>
    <s v="Seagate"/>
    <s v="Enterprise Capacity He v7"/>
    <x v="0"/>
    <x v="9"/>
    <x v="0"/>
    <n v="4.16"/>
    <m/>
    <n v="0.33333333333333326"/>
    <n v="261"/>
    <n v="5"/>
    <n v="600000"/>
    <n v="550"/>
    <n v="2500000"/>
    <n v="1000000000000000"/>
    <n v="25.318000000000001"/>
    <n v="7.8"/>
    <n v="5"/>
    <n v="1.1499999999999999"/>
    <n v="527"/>
    <n v="43.916666666666664"/>
    <n v="527"/>
    <n v="43.916666666666664"/>
    <n v="8.7833333333333332"/>
    <m/>
    <n v="6.0922032000000002"/>
    <n v="0.50768360000000001"/>
  </r>
  <r>
    <d v="2017-09-27T00:00:00"/>
    <s v="Seagate"/>
    <s v="Enterprise Capacity 2.5&quot;"/>
    <x v="0"/>
    <x v="4"/>
    <x v="0"/>
    <n v="4.16"/>
    <m/>
    <n v="0.33333333333333326"/>
    <n v="130"/>
    <n v="5"/>
    <n v="300000"/>
    <n v="550"/>
    <n v="2000000"/>
    <n v="1000000000000000"/>
    <n v="10.899999999999999"/>
    <n v="4.74"/>
    <n v="3.51"/>
    <n v="1.1399999999999999"/>
    <n v="182.13"/>
    <n v="182.13"/>
    <n v="182.13"/>
    <n v="182.13"/>
    <n v="36.426000000000002"/>
    <m/>
    <n v="4.1155243199999996"/>
    <n v="4.1155243199999996"/>
  </r>
  <r>
    <d v="2017-09-27T00:00:00"/>
    <s v="Seagate"/>
    <s v="Enterprise Capacity 2.5&quot;"/>
    <x v="0"/>
    <x v="5"/>
    <x v="0"/>
    <n v="4.16"/>
    <m/>
    <n v="0.33333333333333326"/>
    <n v="130"/>
    <n v="5"/>
    <n v="300000"/>
    <n v="550"/>
    <n v="2000000"/>
    <n v="1000000000000000"/>
    <n v="10.899999999999999"/>
    <n v="5.98"/>
    <n v="3.87"/>
    <n v="1.1399999999999999"/>
    <n v="329.99"/>
    <n v="164.995"/>
    <n v="329.99"/>
    <n v="164.995"/>
    <n v="32.999000000000002"/>
    <m/>
    <n v="4.7028302400000008"/>
    <n v="2.3514151200000004"/>
  </r>
  <r>
    <d v="2017-09-27T00:00:00"/>
    <s v="Seagate"/>
    <s v="FireCuda SSHD"/>
    <x v="1"/>
    <x v="4"/>
    <x v="0"/>
    <m/>
    <m/>
    <n v="0.33333333333333326"/>
    <m/>
    <n v="5"/>
    <m/>
    <m/>
    <m/>
    <m/>
    <n v="24"/>
    <n v="5.9"/>
    <n v="4.5"/>
    <n v="0.63"/>
    <n v="75.989999999999995"/>
    <n v="75.989999999999995"/>
    <n v="75.989999999999995"/>
    <n v="75.989999999999995"/>
    <n v="15.197999999999999"/>
    <m/>
    <n v="5.2375416000000001"/>
    <n v="5.2375416000000001"/>
  </r>
  <r>
    <d v="2017-09-27T00:00:00"/>
    <s v="Seagate"/>
    <s v="FireCuda SSHD"/>
    <x v="1"/>
    <x v="5"/>
    <x v="0"/>
    <m/>
    <m/>
    <n v="0.33333333333333326"/>
    <m/>
    <n v="5"/>
    <m/>
    <m/>
    <m/>
    <m/>
    <n v="24"/>
    <n v="6.7"/>
    <n v="3.36"/>
    <n v="0.75"/>
    <n v="99.99"/>
    <n v="49.994999999999997"/>
    <n v="99.99"/>
    <n v="49.994999999999997"/>
    <n v="9.9989999999999988"/>
    <m/>
    <n v="4.4135601600000003"/>
    <n v="2.2067800800000001"/>
  </r>
  <r>
    <d v="2017-09-27T00:00:00"/>
    <s v="Seagate"/>
    <s v="FireCuda SSHD 2.5&quot;"/>
    <x v="1"/>
    <x v="4"/>
    <x v="1"/>
    <m/>
    <m/>
    <n v="0"/>
    <m/>
    <n v="5"/>
    <m/>
    <m/>
    <m/>
    <m/>
    <n v="5"/>
    <n v="1.7"/>
    <n v="1.45"/>
    <m/>
    <n v="62.99"/>
    <n v="62.99"/>
    <n v="62.99"/>
    <n v="62.99"/>
    <n v="12.598000000000001"/>
    <m/>
    <n v="1.64358"/>
    <n v="1.64358"/>
  </r>
  <r>
    <d v="2017-09-27T00:00:00"/>
    <s v="Seagate"/>
    <s v="FireCuda SSHD 2.5&quot;"/>
    <x v="1"/>
    <x v="5"/>
    <x v="1"/>
    <m/>
    <m/>
    <n v="0"/>
    <m/>
    <n v="5"/>
    <m/>
    <m/>
    <m/>
    <m/>
    <n v="5"/>
    <n v="1.8"/>
    <n v="1.5"/>
    <m/>
    <n v="89.99"/>
    <n v="44.994999999999997"/>
    <n v="89.99"/>
    <n v="44.994999999999997"/>
    <n v="8.9989999999999988"/>
    <m/>
    <n v="1.7093232"/>
    <n v="0.85466160000000002"/>
  </r>
  <r>
    <d v="2017-09-27T00:00:00"/>
    <s v="Seagate"/>
    <s v="IronWolf"/>
    <x v="0"/>
    <x v="4"/>
    <x v="4"/>
    <n v="5.0999999999999996"/>
    <n v="11.99"/>
    <n v="9.259259259259256E-2"/>
    <n v="180"/>
    <n v="3"/>
    <n v="600000"/>
    <n v="180"/>
    <n v="1000000"/>
    <n v="100000000000000"/>
    <n v="14.399999999999999"/>
    <n v="3.76"/>
    <n v="2.5"/>
    <n v="0.8"/>
    <n v="62.99"/>
    <n v="62.99"/>
    <n v="76.847800000000007"/>
    <n v="76.847800000000007"/>
    <n v="15.369560000000002"/>
    <m/>
    <n v="3.0154214399999999"/>
    <n v="3.0154214399999999"/>
  </r>
  <r>
    <d v="2017-09-19T00:00:00"/>
    <s v="Seagate"/>
    <s v="IronWolf"/>
    <x v="0"/>
    <x v="5"/>
    <x v="4"/>
    <n v="5.0999999999999996"/>
    <n v="11.99"/>
    <n v="9.259259259259256E-2"/>
    <n v="180"/>
    <n v="3"/>
    <n v="600000"/>
    <n v="180"/>
    <n v="1000000"/>
    <n v="100000000000000"/>
    <n v="24"/>
    <n v="4.3"/>
    <n v="3.56"/>
    <n v="0.8"/>
    <n v="84.99"/>
    <n v="42.494999999999997"/>
    <n v="103.6878"/>
    <n v="51.843899999999998"/>
    <n v="10.368779999999999"/>
    <m/>
    <n v="4.0629297600000003"/>
    <n v="2.0314648800000001"/>
  </r>
  <r>
    <d v="2017-09-19T00:00:00"/>
    <s v="Seagate"/>
    <s v="IronWolf"/>
    <x v="0"/>
    <x v="10"/>
    <x v="4"/>
    <n v="5.0999999999999996"/>
    <n v="11.99"/>
    <n v="9.259259259259256E-2"/>
    <n v="180"/>
    <n v="3"/>
    <n v="600000"/>
    <n v="180"/>
    <n v="1000000"/>
    <n v="100000000000000"/>
    <n v="24"/>
    <n v="4.8"/>
    <n v="4.8"/>
    <n v="0.6"/>
    <n v="107.99"/>
    <n v="35.996666666666663"/>
    <n v="131.74779999999998"/>
    <n v="43.915933333333328"/>
    <n v="8.7831866666666656"/>
    <m/>
    <n v="5.2594560000000001"/>
    <n v="1.753152"/>
  </r>
  <r>
    <d v="2017-09-19T00:00:00"/>
    <s v="Seagate"/>
    <s v="IronWolf"/>
    <x v="0"/>
    <x v="0"/>
    <x v="4"/>
    <n v="5.0999999999999996"/>
    <n v="9.5"/>
    <n v="9.259259259259256E-2"/>
    <n v="180"/>
    <n v="3"/>
    <n v="600000"/>
    <n v="180"/>
    <n v="1000000"/>
    <n v="100000000000000"/>
    <n v="21.6"/>
    <n v="4.8"/>
    <n v="3.95"/>
    <n v="0.5"/>
    <n v="114.995"/>
    <n v="28.748750000000001"/>
    <n v="140.29390000000001"/>
    <n v="35.073475000000002"/>
    <n v="7.0146950000000006"/>
    <m/>
    <n v="4.5143664000000001"/>
    <n v="1.1285916"/>
  </r>
  <r>
    <d v="2017-09-19T00:00:00"/>
    <s v="Seagate"/>
    <s v="IronWolf"/>
    <x v="0"/>
    <x v="1"/>
    <x v="0"/>
    <n v="4"/>
    <n v="9.5"/>
    <n v="0.33333333333333326"/>
    <n v="210"/>
    <n v="3"/>
    <n v="600000"/>
    <n v="180"/>
    <n v="1000000"/>
    <n v="1000000000000000"/>
    <n v="21.6"/>
    <n v="8.1"/>
    <n v="7.2"/>
    <n v="0.6"/>
    <n v="184.995"/>
    <n v="30.8325"/>
    <n v="225.69390000000001"/>
    <n v="37.615650000000002"/>
    <n v="7.5231300000000001"/>
    <m/>
    <n v="8.0864136000000002"/>
    <n v="1.3477356"/>
  </r>
  <r>
    <d v="2017-09-19T00:00:00"/>
    <s v="Seagate"/>
    <s v="IronWolf"/>
    <x v="0"/>
    <x v="2"/>
    <x v="0"/>
    <n v="4"/>
    <n v="9.5"/>
    <n v="0.33333333333333326"/>
    <n v="210"/>
    <n v="3"/>
    <n v="600000"/>
    <n v="180"/>
    <n v="1000000"/>
    <n v="1000000000000000"/>
    <n v="21.6"/>
    <n v="8.8000000000000007"/>
    <n v="7.6"/>
    <n v="0.6"/>
    <n v="234.995"/>
    <n v="29.374375000000001"/>
    <n v="286.69389999999999"/>
    <n v="35.836737499999998"/>
    <n v="7.1673475"/>
    <m/>
    <n v="8.5904448000000002"/>
    <n v="1.0738056"/>
  </r>
  <r>
    <d v="2017-09-19T00:00:00"/>
    <s v="Seagate"/>
    <s v="IronWolf"/>
    <x v="0"/>
    <x v="3"/>
    <x v="0"/>
    <m/>
    <m/>
    <n v="0.33333333333333326"/>
    <n v="210"/>
    <n v="3"/>
    <n v="600000"/>
    <n v="180"/>
    <n v="1000000"/>
    <n v="1000000000000000"/>
    <n v="21.6"/>
    <n v="7.8"/>
    <n v="5"/>
    <n v="0.8"/>
    <n v="329.99"/>
    <n v="32.999000000000002"/>
    <n v="402.58780000000002"/>
    <n v="40.258780000000002"/>
    <n v="8.051756000000001"/>
    <m/>
    <n v="6.0922032000000002"/>
    <n v="0.60922032000000004"/>
  </r>
  <r>
    <d v="2017-09-29T00:00:00"/>
    <s v="Seagate"/>
    <s v="IronWolf Pro"/>
    <x v="0"/>
    <x v="5"/>
    <x v="0"/>
    <n v="4.16"/>
    <m/>
    <n v="0.33333333333333326"/>
    <n v="195"/>
    <n v="5"/>
    <m/>
    <n v="300"/>
    <n v="1200000"/>
    <n v="1000000000000000"/>
    <n v="24"/>
    <n v="6.5"/>
    <n v="4.6100000000000003"/>
    <n v="0.8"/>
    <n v="144.99"/>
    <n v="72.495000000000005"/>
    <n v="144.99"/>
    <n v="72.495000000000005"/>
    <n v="14.499000000000001"/>
    <m/>
    <n v="5.4654513600000012"/>
    <n v="2.7327256800000006"/>
  </r>
  <r>
    <d v="2017-09-03T00:00:00"/>
    <s v="Seagate"/>
    <s v="IronWolf Pro"/>
    <x v="0"/>
    <x v="0"/>
    <x v="0"/>
    <n v="4.16"/>
    <m/>
    <n v="0.33333333333333326"/>
    <n v="214"/>
    <n v="5"/>
    <m/>
    <n v="300"/>
    <n v="1200000"/>
    <n v="1000000000000000"/>
    <n v="24"/>
    <n v="8.5"/>
    <n v="5.45"/>
    <n v="0.6"/>
    <n v="192.76"/>
    <n v="48.19"/>
    <n v="192.76"/>
    <n v="48.19"/>
    <n v="9.6379999999999999"/>
    <m/>
    <n v="6.6400632000000002"/>
    <n v="1.6600158"/>
  </r>
  <r>
    <d v="2017-09-03T00:00:00"/>
    <s v="Seagate"/>
    <s v="IronWolf Pro"/>
    <x v="0"/>
    <x v="1"/>
    <x v="0"/>
    <n v="4.16"/>
    <m/>
    <n v="0.33333333333333326"/>
    <n v="214"/>
    <n v="5"/>
    <m/>
    <n v="300"/>
    <n v="1200000"/>
    <n v="1000000000000000"/>
    <n v="24"/>
    <n v="8.1"/>
    <n v="7.5"/>
    <n v="0.6"/>
    <n v="269.99"/>
    <n v="44.998333333333335"/>
    <n v="269.99"/>
    <n v="44.998333333333335"/>
    <n v="8.9996666666666663"/>
    <m/>
    <n v="8.3493864000000002"/>
    <n v="1.3915644"/>
  </r>
  <r>
    <d v="2017-09-03T00:00:00"/>
    <s v="Seagate"/>
    <s v="IronWolf Pro"/>
    <x v="0"/>
    <x v="2"/>
    <x v="0"/>
    <n v="4.16"/>
    <m/>
    <n v="0.33333333333333326"/>
    <n v="214"/>
    <n v="5"/>
    <m/>
    <n v="300"/>
    <n v="1200000"/>
    <n v="1000000000000000"/>
    <n v="24"/>
    <n v="7.4"/>
    <n v="4.4000000000000004"/>
    <n v="0.8"/>
    <n v="349.99"/>
    <n v="43.748750000000001"/>
    <n v="349.99"/>
    <n v="43.748750000000001"/>
    <n v="8.7497500000000006"/>
    <m/>
    <n v="5.478600000000001"/>
    <n v="0.68482500000000013"/>
  </r>
  <r>
    <d v="2017-09-03T00:00:00"/>
    <s v="Seagate"/>
    <s v="IronWolf Pro"/>
    <x v="0"/>
    <x v="3"/>
    <x v="0"/>
    <n v="4.16"/>
    <m/>
    <n v="0.33333333333333326"/>
    <n v="214"/>
    <n v="5"/>
    <m/>
    <n v="300"/>
    <n v="1200000"/>
    <n v="1000000000000000"/>
    <n v="24"/>
    <n v="7.4"/>
    <n v="5"/>
    <n v="0.8"/>
    <n v="426.98"/>
    <n v="42.698"/>
    <n v="426.98"/>
    <n v="42.698"/>
    <n v="8.5396000000000001"/>
    <m/>
    <n v="6.0045456000000001"/>
    <n v="0.60045455999999997"/>
  </r>
  <r>
    <d v="2017-08-13T00:00:00"/>
    <s v="Seagate"/>
    <s v="Terascale"/>
    <x v="1"/>
    <x v="0"/>
    <x v="4"/>
    <m/>
    <m/>
    <n v="9.259259259259256E-2"/>
    <m/>
    <n v="3"/>
    <m/>
    <m/>
    <m/>
    <m/>
    <n v="24"/>
    <n v="6.49"/>
    <n v="4.59"/>
    <n v="0.77"/>
    <n v="189.99"/>
    <n v="47.497500000000002"/>
    <n v="231.7878"/>
    <n v="57.946950000000001"/>
    <n v="11.58939"/>
    <m/>
    <n v="5.4457284000000001"/>
    <n v="1.3614321"/>
  </r>
  <r>
    <d v="2017-09-26T00:00:00"/>
    <s v="Toshiba"/>
    <s v="N300"/>
    <x v="0"/>
    <x v="0"/>
    <x v="0"/>
    <n v="4.17"/>
    <m/>
    <n v="0.33333333333333326"/>
    <n v="200"/>
    <n v="3"/>
    <m/>
    <n v="180"/>
    <n v="1000000"/>
    <n v="100000000000000"/>
    <m/>
    <n v="9.6"/>
    <n v="5.2"/>
    <m/>
    <n v="139.99"/>
    <n v="34.997500000000002"/>
    <n v="170.7878"/>
    <n v="42.696950000000001"/>
    <n v="8.5393900000000009"/>
    <m/>
    <n v="6.6619776000000011"/>
    <n v="1.6654944000000003"/>
  </r>
  <r>
    <d v="2017-09-26T00:00:00"/>
    <s v="Toshiba"/>
    <s v="N300"/>
    <x v="0"/>
    <x v="1"/>
    <x v="0"/>
    <n v="4.17"/>
    <m/>
    <n v="0.33333333333333326"/>
    <n v="210"/>
    <n v="3"/>
    <m/>
    <n v="180"/>
    <n v="1000000"/>
    <n v="100000000000000"/>
    <m/>
    <n v="10.1"/>
    <n v="6.7"/>
    <m/>
    <n v="204.99"/>
    <n v="34.164999999999999"/>
    <n v="250.08780000000002"/>
    <n v="41.6813"/>
    <n v="8.3362599999999993"/>
    <m/>
    <n v="8.0864136000000002"/>
    <n v="1.3477356"/>
  </r>
  <r>
    <d v="2017-09-26T00:00:00"/>
    <s v="Toshiba"/>
    <s v="N300"/>
    <x v="0"/>
    <x v="2"/>
    <x v="0"/>
    <n v="4.17"/>
    <m/>
    <n v="0.33333333333333326"/>
    <n v="240"/>
    <n v="3"/>
    <m/>
    <n v="180"/>
    <n v="1000000"/>
    <n v="100000000000000"/>
    <m/>
    <n v="9.1999999999999993"/>
    <n v="6.2"/>
    <m/>
    <n v="234.99"/>
    <n v="29.373750000000001"/>
    <n v="286.68780000000004"/>
    <n v="35.835975000000005"/>
    <n v="7.1671950000000013"/>
    <m/>
    <n v="7.4508960000000002"/>
    <n v="0.93136200000000002"/>
  </r>
  <r>
    <d v="2017-09-22T00:00:00"/>
    <s v="Toshiba"/>
    <s v="P300"/>
    <x v="1"/>
    <x v="4"/>
    <x v="0"/>
    <n v="4.17"/>
    <m/>
    <n v="0.33333333333333326"/>
    <m/>
    <n v="2"/>
    <m/>
    <m/>
    <m/>
    <m/>
    <m/>
    <m/>
    <m/>
    <m/>
    <n v="44.99"/>
    <n v="44.99"/>
    <n v="59.8367"/>
    <n v="59.8367"/>
    <n v="11.96734"/>
    <m/>
    <m/>
    <m/>
  </r>
  <r>
    <d v="2017-09-22T00:00:00"/>
    <s v="Toshiba"/>
    <s v="P300"/>
    <x v="1"/>
    <x v="5"/>
    <x v="0"/>
    <n v="4.17"/>
    <m/>
    <n v="0.33333333333333326"/>
    <m/>
    <n v="2"/>
    <m/>
    <m/>
    <m/>
    <m/>
    <m/>
    <m/>
    <m/>
    <m/>
    <n v="59.99"/>
    <n v="29.995000000000001"/>
    <n v="79.786699999999996"/>
    <n v="39.893349999999998"/>
    <n v="7.9786699999999993"/>
    <m/>
    <m/>
    <m/>
  </r>
  <r>
    <d v="2017-09-22T00:00:00"/>
    <s v="Toshiba"/>
    <s v="P300"/>
    <x v="1"/>
    <x v="10"/>
    <x v="0"/>
    <n v="4.17"/>
    <m/>
    <n v="0.33333333333333326"/>
    <m/>
    <n v="2"/>
    <m/>
    <m/>
    <m/>
    <m/>
    <m/>
    <m/>
    <m/>
    <m/>
    <n v="78.989999999999995"/>
    <n v="26.33"/>
    <n v="105.05669999999999"/>
    <n v="35.018899999999995"/>
    <n v="7.003779999999999"/>
    <m/>
    <m/>
    <m/>
  </r>
  <r>
    <d v="2017-09-08T00:00:00"/>
    <s v="Toshiba"/>
    <s v="P300"/>
    <x v="1"/>
    <x v="0"/>
    <x v="0"/>
    <n v="4.17"/>
    <m/>
    <n v="0.33333333333333326"/>
    <m/>
    <n v="2"/>
    <m/>
    <m/>
    <m/>
    <m/>
    <m/>
    <m/>
    <m/>
    <m/>
    <n v="114.99"/>
    <n v="28.747499999999999"/>
    <n v="152.9367"/>
    <n v="38.234175"/>
    <n v="7.6468350000000003"/>
    <m/>
    <m/>
    <m/>
  </r>
  <r>
    <d v="2017-08-09T00:00:00"/>
    <s v="Toshiba"/>
    <s v="P300"/>
    <x v="1"/>
    <x v="6"/>
    <x v="0"/>
    <n v="4.17"/>
    <m/>
    <n v="0.33333333333333326"/>
    <m/>
    <n v="2"/>
    <m/>
    <m/>
    <m/>
    <m/>
    <m/>
    <m/>
    <m/>
    <m/>
    <n v="159.99"/>
    <n v="31.998000000000001"/>
    <n v="212.7867"/>
    <n v="42.557339999999996"/>
    <n v="8.5114679999999989"/>
    <m/>
    <m/>
    <m/>
  </r>
  <r>
    <d v="2017-08-09T00:00:00"/>
    <s v="Toshiba"/>
    <s v="P300"/>
    <x v="1"/>
    <x v="1"/>
    <x v="0"/>
    <n v="4.17"/>
    <m/>
    <n v="0.33333333333333326"/>
    <m/>
    <n v="2"/>
    <m/>
    <m/>
    <m/>
    <m/>
    <m/>
    <m/>
    <m/>
    <m/>
    <n v="139.99"/>
    <n v="23.331666666666667"/>
    <n v="186.18670000000003"/>
    <n v="31.031116666666673"/>
    <n v="6.2062233333333348"/>
    <m/>
    <m/>
    <m/>
  </r>
  <r>
    <d v="2017-09-22T00:00:00"/>
    <s v="Toshiba"/>
    <s v="X300"/>
    <x v="1"/>
    <x v="0"/>
    <x v="0"/>
    <n v="4.17"/>
    <m/>
    <n v="0.33333333333333326"/>
    <m/>
    <n v="2"/>
    <m/>
    <m/>
    <m/>
    <m/>
    <m/>
    <m/>
    <m/>
    <m/>
    <n v="119.99"/>
    <n v="29.997499999999999"/>
    <n v="159.58670000000001"/>
    <n v="39.896675000000002"/>
    <n v="7.9793350000000007"/>
    <m/>
    <m/>
    <m/>
  </r>
  <r>
    <d v="2017-09-27T00:00:00"/>
    <s v="Toshiba"/>
    <s v="X300"/>
    <x v="1"/>
    <x v="6"/>
    <x v="0"/>
    <n v="4.17"/>
    <m/>
    <n v="0.33333333333333326"/>
    <m/>
    <n v="2"/>
    <m/>
    <m/>
    <m/>
    <m/>
    <m/>
    <m/>
    <m/>
    <m/>
    <n v="134.99"/>
    <n v="26.998000000000001"/>
    <n v="179.5367"/>
    <n v="35.907339999999998"/>
    <n v="7.1814679999999997"/>
    <m/>
    <m/>
    <m/>
  </r>
  <r>
    <d v="2017-09-22T00:00:00"/>
    <s v="Toshiba"/>
    <s v="X300"/>
    <x v="1"/>
    <x v="1"/>
    <x v="0"/>
    <n v="4.17"/>
    <m/>
    <n v="0.33333333333333326"/>
    <m/>
    <n v="2"/>
    <m/>
    <m/>
    <m/>
    <m/>
    <m/>
    <m/>
    <m/>
    <m/>
    <n v="189.99"/>
    <n v="31.665000000000003"/>
    <n v="252.68670000000003"/>
    <n v="42.114450000000005"/>
    <n v="8.4228900000000007"/>
    <m/>
    <m/>
    <m/>
  </r>
  <r>
    <d v="2017-09-22T00:00:00"/>
    <s v="Toshiba"/>
    <s v="X300"/>
    <x v="1"/>
    <x v="2"/>
    <x v="0"/>
    <n v="4.17"/>
    <m/>
    <n v="0.33333333333333326"/>
    <m/>
    <n v="2"/>
    <m/>
    <m/>
    <m/>
    <m/>
    <m/>
    <m/>
    <m/>
    <m/>
    <n v="254.99"/>
    <n v="31.873750000000001"/>
    <n v="339.13670000000002"/>
    <n v="42.392087500000002"/>
    <n v="8.4784175000000008"/>
    <m/>
    <m/>
    <m/>
  </r>
  <r>
    <d v="2017-09-26T00:00:00"/>
    <s v="WD"/>
    <s v="Ae"/>
    <x v="1"/>
    <x v="1"/>
    <x v="5"/>
    <m/>
    <m/>
    <n v="6.6666666666666652E-2"/>
    <n v="150"/>
    <n v="3"/>
    <n v="300000"/>
    <m/>
    <n v="500000"/>
    <n v="100000000000000"/>
    <m/>
    <n v="6.5"/>
    <n v="4.8"/>
    <m/>
    <n v="169.99"/>
    <n v="28.331666666666667"/>
    <n v="207.38780000000003"/>
    <n v="34.56463333333334"/>
    <n v="6.9129266666666682"/>
    <m/>
    <n v="5.6320008000000001"/>
    <n v="0.93866680000000002"/>
  </r>
  <r>
    <d v="2017-10-06T00:00:00"/>
    <s v="WD"/>
    <s v="Black"/>
    <x v="1"/>
    <x v="4"/>
    <x v="0"/>
    <m/>
    <m/>
    <n v="0.33333333333333326"/>
    <n v="150"/>
    <n v="5"/>
    <n v="300000"/>
    <m/>
    <m/>
    <n v="100000000000000"/>
    <m/>
    <n v="6.8"/>
    <n v="6.1"/>
    <n v="0.8"/>
    <n v="67.489999999999995"/>
    <n v="67.489999999999995"/>
    <n v="67.489999999999995"/>
    <n v="67.489999999999995"/>
    <n v="13.497999999999999"/>
    <m/>
    <n v="6.8372928000000002"/>
    <n v="6.8372928000000002"/>
  </r>
  <r>
    <d v="2017-09-22T00:00:00"/>
    <s v="WD"/>
    <s v="Black"/>
    <x v="1"/>
    <x v="5"/>
    <x v="0"/>
    <m/>
    <m/>
    <n v="0.33333333333333326"/>
    <n v="164"/>
    <n v="5"/>
    <n v="300000"/>
    <m/>
    <m/>
    <n v="100000000000000"/>
    <m/>
    <n v="9.5"/>
    <n v="8.1"/>
    <n v="1.3"/>
    <n v="119.99"/>
    <n v="59.994999999999997"/>
    <n v="119.99"/>
    <n v="59.994999999999997"/>
    <n v="11.998999999999999"/>
    <m/>
    <n v="9.1821336000000002"/>
    <n v="4.5910668000000001"/>
  </r>
  <r>
    <d v="2017-09-30T00:00:00"/>
    <s v="WD"/>
    <s v="Black"/>
    <x v="1"/>
    <x v="0"/>
    <x v="0"/>
    <m/>
    <m/>
    <n v="0.33333333333333326"/>
    <n v="202"/>
    <n v="5"/>
    <n v="300000"/>
    <m/>
    <m/>
    <n v="100000000000000"/>
    <m/>
    <n v="10.6"/>
    <n v="7.6"/>
    <n v="1.6"/>
    <n v="184.99"/>
    <n v="46.247500000000002"/>
    <n v="184.99"/>
    <n v="46.247500000000002"/>
    <n v="9.2495000000000012"/>
    <m/>
    <n v="8.9849040000000002"/>
    <n v="2.2462260000000001"/>
  </r>
  <r>
    <d v="2017-09-22T00:00:00"/>
    <s v="WD"/>
    <s v="Black"/>
    <x v="1"/>
    <x v="6"/>
    <x v="0"/>
    <m/>
    <m/>
    <n v="0.33333333333333326"/>
    <n v="194"/>
    <n v="5"/>
    <n v="300000"/>
    <m/>
    <m/>
    <n v="100000000000000"/>
    <m/>
    <n v="10.6"/>
    <n v="7.6"/>
    <n v="1.6"/>
    <n v="134.99"/>
    <n v="26.998000000000001"/>
    <n v="134.99"/>
    <n v="26.998000000000001"/>
    <n v="5.3996000000000004"/>
    <m/>
    <n v="8.9849040000000002"/>
    <n v="1.7969808"/>
  </r>
  <r>
    <d v="2017-10-06T00:00:00"/>
    <s v="WD"/>
    <s v="Black"/>
    <x v="1"/>
    <x v="1"/>
    <x v="0"/>
    <m/>
    <m/>
    <n v="0.33333333333333326"/>
    <n v="227"/>
    <n v="5"/>
    <n v="300000"/>
    <m/>
    <m/>
    <n v="100000000000000"/>
    <m/>
    <n v="10.6"/>
    <n v="7.6"/>
    <n v="1.6"/>
    <n v="219.995"/>
    <n v="36.665833333333332"/>
    <n v="219.995"/>
    <n v="36.665833333333332"/>
    <n v="7.3331666666666662"/>
    <m/>
    <n v="8.9849040000000002"/>
    <n v="1.497484"/>
  </r>
  <r>
    <d v="2017-09-22T00:00:00"/>
    <s v="WD"/>
    <s v="Black"/>
    <x v="1"/>
    <x v="2"/>
    <x v="0"/>
    <m/>
    <m/>
    <n v="0.33333333333333326"/>
    <m/>
    <n v="5"/>
    <n v="300000"/>
    <m/>
    <m/>
    <m/>
    <m/>
    <n v="10.6"/>
    <n v="7.6"/>
    <n v="1.6"/>
    <n v="329.99"/>
    <n v="41.248750000000001"/>
    <n v="329.99"/>
    <n v="41.248750000000001"/>
    <n v="8.2497500000000006"/>
    <m/>
    <n v="8.9849040000000002"/>
    <n v="1.123113"/>
  </r>
  <r>
    <d v="2017-09-27T00:00:00"/>
    <s v="WD"/>
    <s v="Black 2.5&quot;"/>
    <x v="1"/>
    <x v="4"/>
    <x v="0"/>
    <m/>
    <m/>
    <n v="0.33333333333333326"/>
    <m/>
    <n v="5"/>
    <n v="600000"/>
    <m/>
    <m/>
    <n v="100000000000000"/>
    <n v="5.5"/>
    <n v="1.8"/>
    <n v="0.8"/>
    <n v="0.2"/>
    <n v="64.989999999999995"/>
    <n v="64.989999999999995"/>
    <n v="64.989999999999995"/>
    <n v="64.989999999999995"/>
    <n v="12.997999999999999"/>
    <m/>
    <n v="1.09572"/>
    <n v="1.09572"/>
  </r>
  <r>
    <d v="2017-08-23T00:00:00"/>
    <s v="WD"/>
    <s v="Blue"/>
    <x v="1"/>
    <x v="4"/>
    <x v="1"/>
    <m/>
    <m/>
    <n v="0"/>
    <n v="150"/>
    <n v="2"/>
    <n v="300000"/>
    <m/>
    <m/>
    <n v="100000000000000"/>
    <m/>
    <m/>
    <m/>
    <m/>
    <n v="49.99"/>
    <n v="49.99"/>
    <n v="66.486699999999999"/>
    <n v="66.486699999999999"/>
    <n v="13.29734"/>
    <m/>
    <m/>
    <m/>
  </r>
  <r>
    <d v="2017-09-15T00:00:00"/>
    <s v="WD"/>
    <s v="Blue"/>
    <x v="1"/>
    <x v="5"/>
    <x v="1"/>
    <m/>
    <m/>
    <n v="0"/>
    <n v="147"/>
    <n v="2"/>
    <n v="300000"/>
    <m/>
    <m/>
    <n v="100000000000000"/>
    <n v="20.759999999999998"/>
    <n v="4.0999999999999996"/>
    <n v="3"/>
    <n v="0.4"/>
    <n v="58.491"/>
    <n v="29.2455"/>
    <n v="77.793030000000002"/>
    <n v="38.896515000000001"/>
    <n v="7.7793030000000005"/>
    <m/>
    <n v="3.5282184000000001"/>
    <n v="1.7641092"/>
  </r>
  <r>
    <d v="2017-08-13T00:00:00"/>
    <s v="WD"/>
    <s v="Blue"/>
    <x v="1"/>
    <x v="10"/>
    <x v="1"/>
    <m/>
    <m/>
    <n v="0"/>
    <n v="147"/>
    <n v="2"/>
    <n v="300000"/>
    <m/>
    <m/>
    <n v="100000000000000"/>
    <n v="20.759999999999998"/>
    <n v="4.0999999999999996"/>
    <n v="3"/>
    <n v="0.4"/>
    <n v="79.989999999999995"/>
    <n v="26.66333333333333"/>
    <n v="106.38669999999999"/>
    <n v="35.46223333333333"/>
    <n v="7.0924466666666657"/>
    <m/>
    <n v="3.5282184000000001"/>
    <n v="1.1760728"/>
  </r>
  <r>
    <d v="2017-10-03T00:00:00"/>
    <s v="WD"/>
    <s v="Blue"/>
    <x v="1"/>
    <x v="0"/>
    <x v="1"/>
    <m/>
    <m/>
    <n v="0"/>
    <n v="150"/>
    <n v="2"/>
    <n v="300000"/>
    <m/>
    <m/>
    <n v="100000000000000"/>
    <n v="21"/>
    <n v="5.3"/>
    <n v="3.4"/>
    <n v="0.4"/>
    <n v="99.99"/>
    <n v="24.997499999999999"/>
    <n v="132.98669999999998"/>
    <n v="33.246674999999996"/>
    <n v="6.6493349999999989"/>
    <m/>
    <n v="4.1418216000000001"/>
    <n v="1.0354554"/>
  </r>
  <r>
    <d v="2017-08-13T00:00:00"/>
    <s v="WD"/>
    <s v="Blue"/>
    <x v="1"/>
    <x v="6"/>
    <x v="1"/>
    <m/>
    <m/>
    <n v="0"/>
    <n v="170"/>
    <n v="2"/>
    <n v="300000"/>
    <m/>
    <m/>
    <n v="100000000000000"/>
    <n v="21"/>
    <n v="5.3"/>
    <n v="3.4"/>
    <n v="0.4"/>
    <n v="235.89"/>
    <n v="47.177999999999997"/>
    <n v="313.7337"/>
    <n v="62.746740000000003"/>
    <n v="12.549348"/>
    <m/>
    <n v="4.1418216000000001"/>
    <n v="0.82836432000000004"/>
  </r>
  <r>
    <d v="2017-09-30T00:00:00"/>
    <s v="WD"/>
    <s v="Blue"/>
    <x v="1"/>
    <x v="1"/>
    <x v="1"/>
    <m/>
    <m/>
    <n v="0"/>
    <n v="175"/>
    <n v="2"/>
    <n v="300000"/>
    <m/>
    <m/>
    <n v="100000000000000"/>
    <n v="21"/>
    <n v="5.3"/>
    <n v="3.4"/>
    <n v="0.4"/>
    <n v="196.99"/>
    <n v="32.831666666666671"/>
    <n v="261.99670000000003"/>
    <n v="43.666116666666674"/>
    <n v="8.7332233333333349"/>
    <m/>
    <n v="4.1418216000000001"/>
    <n v="0.69030360000000002"/>
  </r>
  <r>
    <d v="2017-08-13T00:00:00"/>
    <s v="WD"/>
    <s v="Blue 2.5&quot;"/>
    <x v="1"/>
    <x v="4"/>
    <x v="1"/>
    <m/>
    <m/>
    <n v="0"/>
    <m/>
    <n v="2"/>
    <n v="600000"/>
    <m/>
    <m/>
    <n v="100000000000000"/>
    <n v="5"/>
    <n v="1.5"/>
    <n v="0.5"/>
    <n v="0.1"/>
    <n v="55.99"/>
    <n v="55.99"/>
    <n v="74.466700000000003"/>
    <n v="74.466700000000003"/>
    <n v="14.89334"/>
    <m/>
    <n v="0.76700400000000002"/>
    <n v="0.76700400000000002"/>
  </r>
  <r>
    <d v="2017-08-13T00:00:00"/>
    <s v="WD"/>
    <s v="Blue 2.5&quot;"/>
    <x v="1"/>
    <x v="5"/>
    <x v="1"/>
    <m/>
    <m/>
    <n v="0"/>
    <m/>
    <n v="2"/>
    <n v="600000"/>
    <m/>
    <m/>
    <n v="100000000000000"/>
    <n v="5"/>
    <n v="1.7"/>
    <n v="0.8"/>
    <n v="0.2"/>
    <n v="141.99"/>
    <n v="70.995000000000005"/>
    <n v="188.8467"/>
    <n v="94.423349999999999"/>
    <n v="18.88467"/>
    <m/>
    <n v="1.0738056"/>
    <n v="0.53690280000000001"/>
  </r>
  <r>
    <d v="2017-09-22T00:00:00"/>
    <s v="WD"/>
    <s v="Gold Enterprise"/>
    <x v="0"/>
    <x v="4"/>
    <x v="0"/>
    <m/>
    <m/>
    <n v="0.33333333333333326"/>
    <n v="184"/>
    <n v="5"/>
    <n v="600000"/>
    <n v="550"/>
    <n v="2000000"/>
    <n v="1000000000000000"/>
    <m/>
    <n v="8.1"/>
    <n v="5.9"/>
    <m/>
    <n v="84.99"/>
    <n v="84.99"/>
    <n v="84.99"/>
    <n v="84.99"/>
    <n v="16.997999999999998"/>
    <m/>
    <n v="6.9468648000000002"/>
    <n v="6.9468648000000002"/>
  </r>
  <r>
    <d v="2017-09-30T00:00:00"/>
    <s v="WD"/>
    <s v="Gold Enterprise"/>
    <x v="0"/>
    <x v="5"/>
    <x v="0"/>
    <m/>
    <m/>
    <n v="0.33333333333333326"/>
    <n v="200"/>
    <n v="5"/>
    <n v="600000"/>
    <n v="550"/>
    <n v="2000000"/>
    <n v="1000000000000000"/>
    <m/>
    <n v="8.1"/>
    <n v="5.9"/>
    <m/>
    <n v="119.99"/>
    <n v="59.994999999999997"/>
    <n v="119.99"/>
    <n v="59.994999999999997"/>
    <n v="11.998999999999999"/>
    <m/>
    <n v="6.9468648000000002"/>
    <n v="3.4734324000000001"/>
  </r>
  <r>
    <d v="2017-09-30T00:00:00"/>
    <s v="WD"/>
    <s v="Gold Enterprise"/>
    <x v="0"/>
    <x v="0"/>
    <x v="0"/>
    <m/>
    <m/>
    <n v="0.33333333333333326"/>
    <n v="201"/>
    <n v="5"/>
    <n v="600000"/>
    <n v="550"/>
    <n v="2000000"/>
    <n v="1000000000000000"/>
    <m/>
    <n v="9"/>
    <n v="7"/>
    <m/>
    <n v="169.99"/>
    <n v="42.497500000000002"/>
    <n v="169.99"/>
    <n v="42.497500000000002"/>
    <n v="8.4995000000000012"/>
    <m/>
    <n v="8.1083280000000002"/>
    <n v="2.0270820000000001"/>
  </r>
  <r>
    <d v="2017-09-30T00:00:00"/>
    <s v="WD"/>
    <s v="Gold Enterprise"/>
    <x v="0"/>
    <x v="1"/>
    <x v="0"/>
    <m/>
    <m/>
    <n v="0.33333333333333326"/>
    <n v="226"/>
    <n v="5"/>
    <n v="600000"/>
    <n v="550"/>
    <n v="2000000"/>
    <n v="1000000000000000"/>
    <m/>
    <n v="9.3000000000000007"/>
    <n v="7.1"/>
    <m/>
    <n v="239.99"/>
    <n v="39.998333333333335"/>
    <n v="239.99"/>
    <n v="39.998333333333335"/>
    <n v="7.9996666666666671"/>
    <m/>
    <n v="8.2617288000000002"/>
    <n v="1.3769548"/>
  </r>
  <r>
    <d v="2017-09-30T00:00:00"/>
    <s v="WD"/>
    <s v="Gold Enterprise"/>
    <x v="0"/>
    <x v="2"/>
    <x v="0"/>
    <m/>
    <m/>
    <n v="0.33333333333333326"/>
    <n v="205"/>
    <n v="5"/>
    <n v="600000"/>
    <n v="550"/>
    <n v="2500000"/>
    <n v="1000000000000000"/>
    <m/>
    <n v="7.2"/>
    <n v="5.0999999999999996"/>
    <m/>
    <n v="339.99"/>
    <n v="42.498750000000001"/>
    <n v="339.99"/>
    <n v="42.498750000000001"/>
    <n v="8.4997500000000006"/>
    <m/>
    <n v="6.0483743999999993"/>
    <n v="0.75604679999999991"/>
  </r>
  <r>
    <d v="2017-09-30T00:00:00"/>
    <s v="WD"/>
    <s v="Gold Enterprise"/>
    <x v="0"/>
    <x v="3"/>
    <x v="0"/>
    <m/>
    <m/>
    <n v="0.33333333333333326"/>
    <n v="249"/>
    <n v="5"/>
    <n v="600000"/>
    <n v="550"/>
    <n v="2500000"/>
    <n v="1000000000000000"/>
    <m/>
    <n v="7.1"/>
    <n v="5"/>
    <m/>
    <n v="414.99"/>
    <n v="41.499000000000002"/>
    <n v="414.99"/>
    <n v="41.499000000000002"/>
    <n v="8.2998000000000012"/>
    <m/>
    <n v="5.9388024000000001"/>
    <n v="0.59388024000000006"/>
  </r>
  <r>
    <d v="2017-09-30T00:00:00"/>
    <s v="WD"/>
    <s v="Gold Enterprise"/>
    <x v="0"/>
    <x v="9"/>
    <x v="0"/>
    <m/>
    <m/>
    <n v="0.33333333333333326"/>
    <n v="255"/>
    <n v="5"/>
    <n v="600000"/>
    <n v="550"/>
    <n v="2500000"/>
    <n v="1000000000000000"/>
    <m/>
    <n v="7"/>
    <n v="5"/>
    <m/>
    <n v="539.99"/>
    <n v="44.999166666666667"/>
    <n v="539.99"/>
    <n v="44.999166666666667"/>
    <n v="8.9998333333333331"/>
    <m/>
    <n v="5.9168880000000001"/>
    <n v="0.49307400000000001"/>
  </r>
  <r>
    <d v="2017-09-26T00:00:00"/>
    <s v="WD"/>
    <s v="Red NAS"/>
    <x v="0"/>
    <x v="4"/>
    <x v="1"/>
    <m/>
    <m/>
    <n v="0"/>
    <n v="150"/>
    <n v="3"/>
    <n v="600000"/>
    <n v="180"/>
    <n v="1000000"/>
    <n v="100000000000000"/>
    <n v="14.399999999999999"/>
    <n v="3.3"/>
    <n v="2.2999999999999998"/>
    <n v="0.4"/>
    <n v="54.99"/>
    <n v="54.99"/>
    <n v="67.087800000000001"/>
    <n v="67.087800000000001"/>
    <n v="13.41756"/>
    <m/>
    <n v="2.7393000000000001"/>
    <n v="2.7393000000000001"/>
  </r>
  <r>
    <d v="2017-09-26T00:00:00"/>
    <s v="WD"/>
    <s v="Red NAS"/>
    <x v="0"/>
    <x v="5"/>
    <x v="1"/>
    <m/>
    <m/>
    <n v="0"/>
    <n v="147"/>
    <n v="3"/>
    <n v="600000"/>
    <n v="180"/>
    <n v="1000000"/>
    <n v="100000000000000"/>
    <n v="20.759999999999998"/>
    <n v="4.0999999999999996"/>
    <n v="2.7"/>
    <n v="0.4"/>
    <n v="84.99"/>
    <n v="42.494999999999997"/>
    <n v="103.6878"/>
    <n v="51.843899999999998"/>
    <n v="10.368779999999999"/>
    <m/>
    <n v="3.2652456000000005"/>
    <n v="1.6326228000000003"/>
  </r>
  <r>
    <d v="2017-09-26T00:00:00"/>
    <s v="WD"/>
    <s v="Red NAS"/>
    <x v="0"/>
    <x v="10"/>
    <x v="1"/>
    <m/>
    <n v="8.9"/>
    <n v="0"/>
    <n v="147"/>
    <n v="3"/>
    <n v="600000"/>
    <n v="180"/>
    <n v="1000000"/>
    <n v="100000000000000"/>
    <n v="20.759999999999998"/>
    <n v="4.0999999999999996"/>
    <n v="2.7"/>
    <n v="0.4"/>
    <n v="109.99"/>
    <n v="36.663333333333334"/>
    <n v="134.18779999999998"/>
    <n v="44.729266666666661"/>
    <n v="8.9458533333333321"/>
    <m/>
    <n v="3.2652456000000005"/>
    <n v="1.0884152000000002"/>
  </r>
  <r>
    <d v="2017-10-03T00:00:00"/>
    <s v="WD"/>
    <s v="Red NAS"/>
    <x v="0"/>
    <x v="0"/>
    <x v="1"/>
    <m/>
    <m/>
    <n v="0"/>
    <n v="150"/>
    <n v="3"/>
    <n v="600000"/>
    <n v="180"/>
    <n v="1000000"/>
    <n v="100000000000000"/>
    <n v="21"/>
    <n v="4.5"/>
    <n v="3.3"/>
    <n v="0.4"/>
    <n v="129.99"/>
    <n v="32.497500000000002"/>
    <n v="158.58780000000002"/>
    <n v="39.646950000000004"/>
    <n v="7.9293900000000006"/>
    <m/>
    <n v="3.8788488000000001"/>
    <n v="0.96971220000000002"/>
  </r>
  <r>
    <d v="2017-09-30T00:00:00"/>
    <s v="WD"/>
    <s v="Red NAS"/>
    <x v="0"/>
    <x v="6"/>
    <x v="1"/>
    <m/>
    <m/>
    <n v="0"/>
    <m/>
    <n v="3"/>
    <n v="600000"/>
    <n v="180"/>
    <n v="1000000"/>
    <n v="100000000000000"/>
    <n v="21"/>
    <n v="5.3"/>
    <n v="3.4"/>
    <n v="0.4"/>
    <n v="262"/>
    <n v="52.4"/>
    <n v="319.64"/>
    <n v="63.927999999999997"/>
    <n v="12.785599999999999"/>
    <m/>
    <n v="4.1418216000000001"/>
    <n v="0.82836432000000004"/>
  </r>
  <r>
    <d v="2017-09-30T00:00:00"/>
    <s v="WD"/>
    <s v="Red NAS"/>
    <x v="0"/>
    <x v="1"/>
    <x v="1"/>
    <m/>
    <m/>
    <n v="0"/>
    <n v="175"/>
    <n v="3"/>
    <n v="600000"/>
    <n v="180"/>
    <n v="1000000"/>
    <n v="100000000000000"/>
    <n v="21"/>
    <n v="5.3"/>
    <n v="3.4"/>
    <n v="0.4"/>
    <n v="214.99"/>
    <n v="35.831666666666671"/>
    <n v="262.2878"/>
    <n v="43.714633333333332"/>
    <n v="8.7429266666666656"/>
    <m/>
    <n v="4.1418216000000001"/>
    <n v="0.69030360000000002"/>
  </r>
  <r>
    <d v="2017-09-30T00:00:00"/>
    <s v="WD"/>
    <s v="Red NAS"/>
    <x v="0"/>
    <x v="2"/>
    <x v="1"/>
    <m/>
    <m/>
    <n v="0"/>
    <n v="178"/>
    <n v="3"/>
    <n v="600000"/>
    <n v="180"/>
    <n v="1000000"/>
    <n v="100000000000000"/>
    <n v="21.48"/>
    <n v="6.4"/>
    <n v="5.2"/>
    <n v="0.7"/>
    <n v="259.99"/>
    <n v="32.498750000000001"/>
    <n v="317.18780000000004"/>
    <n v="39.648475000000005"/>
    <n v="7.9296950000000006"/>
    <m/>
    <n v="5.960716800000001"/>
    <n v="0.74508960000000013"/>
  </r>
  <r>
    <d v="2017-10-06T00:00:00"/>
    <s v="WD"/>
    <s v="Red NAS"/>
    <x v="0"/>
    <x v="3"/>
    <x v="1"/>
    <m/>
    <m/>
    <n v="0"/>
    <n v="210"/>
    <n v="3"/>
    <n v="600000"/>
    <n v="180"/>
    <n v="1000000"/>
    <n v="100000000000000"/>
    <n v="21.48"/>
    <n v="5.7"/>
    <n v="2.8"/>
    <n v="0.5"/>
    <n v="359.99"/>
    <n v="35.999000000000002"/>
    <n v="439.18780000000004"/>
    <n v="43.918780000000005"/>
    <n v="8.7837560000000003"/>
    <m/>
    <n v="3.7035336000000001"/>
    <n v="0.37035336000000002"/>
  </r>
  <r>
    <d v="2017-08-14T00:00:00"/>
    <s v="WD"/>
    <s v="Red NAS 2.5&quot;"/>
    <x v="0"/>
    <x v="11"/>
    <x v="1"/>
    <m/>
    <m/>
    <n v="0"/>
    <n v="144"/>
    <n v="3"/>
    <n v="600000"/>
    <n v="180"/>
    <n v="1000000"/>
    <n v="100000000000000"/>
    <n v="5"/>
    <n v="1.4"/>
    <n v="0.6"/>
    <n v="0.2"/>
    <n v="54.99"/>
    <n v="73.320000000000007"/>
    <n v="67.087800000000001"/>
    <n v="89.450400000000002"/>
    <n v="17.890080000000001"/>
    <m/>
    <n v="0.83274720000000002"/>
    <n v="1.1103296"/>
  </r>
  <r>
    <d v="2017-08-14T00:00:00"/>
    <s v="WD"/>
    <s v="Red NAS 2.5&quot;"/>
    <x v="0"/>
    <x v="4"/>
    <x v="1"/>
    <m/>
    <m/>
    <n v="0"/>
    <n v="144"/>
    <n v="3"/>
    <n v="600000"/>
    <n v="180"/>
    <n v="1000000"/>
    <n v="100000000000000"/>
    <n v="5"/>
    <n v="1.4"/>
    <n v="0.6"/>
    <n v="0.2"/>
    <n v="72.989999999999995"/>
    <n v="72.989999999999995"/>
    <n v="89.047799999999995"/>
    <n v="89.047799999999995"/>
    <n v="17.809559999999998"/>
    <m/>
    <n v="0.83274720000000002"/>
    <n v="0.83274720000000002"/>
  </r>
  <r>
    <d v="2017-09-23T00:00:00"/>
    <s v="WD"/>
    <s v="RED NAS Pro"/>
    <x v="0"/>
    <x v="5"/>
    <x v="0"/>
    <m/>
    <m/>
    <n v="0.33333333333333326"/>
    <n v="164"/>
    <n v="5"/>
    <n v="600000"/>
    <n v="300"/>
    <n v="1000000"/>
    <n v="1000000000000000"/>
    <n v="22.799999999999997"/>
    <n v="7.8"/>
    <n v="6"/>
    <n v="1.4"/>
    <n v="120.99"/>
    <n v="60.494999999999997"/>
    <n v="120.99"/>
    <n v="60.494999999999997"/>
    <n v="12.099"/>
    <m/>
    <n v="6.9687792000000002"/>
    <n v="3.4843896000000001"/>
  </r>
  <r>
    <d v="2017-09-23T00:00:00"/>
    <s v="WD"/>
    <s v="RED NAS Pro"/>
    <x v="0"/>
    <x v="10"/>
    <x v="0"/>
    <m/>
    <m/>
    <n v="0.33333333333333326"/>
    <m/>
    <n v="5"/>
    <n v="600000"/>
    <n v="300"/>
    <n v="1000000"/>
    <n v="1000000000000000"/>
    <n v="22.799999999999997"/>
    <n v="8.6"/>
    <n v="6.5"/>
    <n v="0.6"/>
    <n v="209.99"/>
    <n v="69.99666666666667"/>
    <n v="209.99"/>
    <n v="69.99666666666667"/>
    <n v="13.999333333333334"/>
    <m/>
    <n v="7.5823824000000002"/>
    <n v="2.5274608000000001"/>
  </r>
  <r>
    <d v="2017-09-30T00:00:00"/>
    <s v="WD"/>
    <s v="RED NAS Pro"/>
    <x v="0"/>
    <x v="0"/>
    <x v="0"/>
    <m/>
    <m/>
    <n v="0.33333333333333326"/>
    <n v="202"/>
    <n v="5"/>
    <n v="600000"/>
    <n v="300"/>
    <n v="1000000"/>
    <n v="1000000000000000"/>
    <n v="21.48"/>
    <n v="9.1"/>
    <n v="7.1"/>
    <n v="1"/>
    <n v="174.99"/>
    <n v="43.747500000000002"/>
    <n v="174.99"/>
    <n v="43.747500000000002"/>
    <n v="8.7495000000000012"/>
    <m/>
    <n v="8.2179000000000002"/>
    <n v="2.0544750000000001"/>
  </r>
  <r>
    <d v="2017-04-17T00:00:00"/>
    <s v="WD"/>
    <s v="RED NAS Pro"/>
    <x v="0"/>
    <x v="6"/>
    <x v="0"/>
    <m/>
    <m/>
    <n v="0.33333333333333326"/>
    <m/>
    <n v="5"/>
    <n v="600000"/>
    <n v="300"/>
    <n v="1000000"/>
    <n v="1000000000000000"/>
    <n v="22.799999999999997"/>
    <n v="10.6"/>
    <n v="7.4"/>
    <n v="1.6"/>
    <n v="259.99"/>
    <n v="51.998000000000005"/>
    <n v="259.99"/>
    <n v="51.998000000000005"/>
    <n v="10.399600000000001"/>
    <m/>
    <n v="8.8095888000000002"/>
    <n v="1.76191776"/>
  </r>
  <r>
    <d v="2017-10-03T00:00:00"/>
    <s v="WD"/>
    <s v="RED NAS Pro"/>
    <x v="0"/>
    <x v="1"/>
    <x v="0"/>
    <m/>
    <m/>
    <n v="0.33333333333333326"/>
    <n v="227"/>
    <n v="5"/>
    <n v="600000"/>
    <n v="300"/>
    <n v="1000000"/>
    <n v="1000000000000000"/>
    <n v="21.48"/>
    <n v="9.1"/>
    <n v="7.1"/>
    <n v="1"/>
    <n v="229.99"/>
    <n v="38.331666666666671"/>
    <n v="229.99"/>
    <n v="38.331666666666671"/>
    <n v="7.6663333333333341"/>
    <m/>
    <n v="8.2179000000000002"/>
    <n v="1.36965"/>
  </r>
  <r>
    <d v="2017-09-30T00:00:00"/>
    <s v="WD"/>
    <s v="RED NAS Pro"/>
    <x v="0"/>
    <x v="2"/>
    <x v="0"/>
    <m/>
    <m/>
    <n v="0.33333333333333326"/>
    <n v="205"/>
    <n v="5"/>
    <n v="600000"/>
    <n v="300"/>
    <n v="1000000"/>
    <n v="1000000000000000"/>
    <n v="21.48"/>
    <n v="8.3000000000000007"/>
    <n v="5.2"/>
    <n v="1"/>
    <n v="329.99"/>
    <n v="41.248750000000001"/>
    <n v="329.99"/>
    <n v="41.248750000000001"/>
    <n v="8.2497500000000006"/>
    <m/>
    <n v="6.377090400000001"/>
    <n v="0.79713630000000013"/>
  </r>
  <r>
    <d v="2017-09-30T00:00:00"/>
    <s v="WD"/>
    <s v="RED NAS Pro"/>
    <x v="0"/>
    <x v="3"/>
    <x v="0"/>
    <m/>
    <m/>
    <n v="0.33333333333333326"/>
    <n v="240"/>
    <n v="5"/>
    <n v="600000"/>
    <n v="300"/>
    <n v="1000000"/>
    <n v="1000000000000000"/>
    <n v="21.6"/>
    <n v="5.7"/>
    <n v="2.8"/>
    <n v="0.5"/>
    <n v="440.77"/>
    <n v="44.076999999999998"/>
    <n v="440.77"/>
    <n v="44.076999999999998"/>
    <n v="8.8154000000000003"/>
    <m/>
    <n v="3.7035336000000001"/>
    <n v="0.3703533600000000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5" applyNumberFormats="0" applyBorderFormats="0" applyFontFormats="0" applyPatternFormats="0" applyAlignmentFormats="0" applyWidthHeightFormats="1" dataCaption="Values" grandTotalCaption="Avg By Size" updatedVersion="3" minRefreshableVersion="3" showCalcMbrs="0" useAutoFormatting="1" itemPrintTitles="1" createdVersion="3" indent="0" outline="1" outlineData="1" multipleFieldFilters="0" chartFormat="1">
  <location ref="E3:F16" firstHeaderRow="1" firstDataRow="1" firstDataCol="1" rowPageCount="1" colPageCount="1"/>
  <pivotFields count="27">
    <pivotField numFmtId="14" showAll="0"/>
    <pivotField showAll="0" defaultSubtotal="0"/>
    <pivotField showAll="0" defaultSubtotal="0"/>
    <pivotField axis="axisPage" showAll="0" defaultSubtotal="0">
      <items count="2">
        <item x="0"/>
        <item x="1"/>
      </items>
    </pivotField>
    <pivotField axis="axisRow" numFmtId="2" showAll="0" defaultSubtotal="0">
      <items count="12">
        <item x="7"/>
        <item x="11"/>
        <item x="4"/>
        <item x="8"/>
        <item x="5"/>
        <item x="10"/>
        <item x="0"/>
        <item x="6"/>
        <item x="1"/>
        <item x="2"/>
        <item x="3"/>
        <item x="9"/>
      </items>
    </pivotField>
    <pivotField numFmtId="3" showAll="0" defaultSubtotal="0"/>
    <pivotField showAll="0" defaultSubtotal="0"/>
    <pivotField showAll="0" defaultSubtotal="0"/>
    <pivotField numFmtId="9"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4" showAll="0" defaultSubtotal="0"/>
    <pivotField numFmtId="164" showAll="0" defaultSubtotal="0"/>
    <pivotField numFmtId="164" showAll="0" defaultSubtotal="0"/>
    <pivotField numFmtId="164" showAll="0" defaultSubtotal="0"/>
    <pivotField dataField="1" numFmtId="164" showAll="0" defaultSubtotal="0"/>
    <pivotField showAll="0" defaultSubtotal="0"/>
    <pivotField showAll="0" defaultSubtotal="0"/>
    <pivotField showAll="0" defaultSubtotal="0"/>
  </pivotFields>
  <rowFields count="1">
    <field x="4"/>
  </rowFields>
  <rowItems count="13">
    <i>
      <x/>
    </i>
    <i>
      <x v="1"/>
    </i>
    <i>
      <x v="2"/>
    </i>
    <i>
      <x v="3"/>
    </i>
    <i>
      <x v="4"/>
    </i>
    <i>
      <x v="5"/>
    </i>
    <i>
      <x v="6"/>
    </i>
    <i>
      <x v="7"/>
    </i>
    <i>
      <x v="8"/>
    </i>
    <i>
      <x v="9"/>
    </i>
    <i>
      <x v="10"/>
    </i>
    <i>
      <x v="11"/>
    </i>
    <i t="grand">
      <x/>
    </i>
  </rowItems>
  <colItems count="1">
    <i/>
  </colItems>
  <pageFields count="1">
    <pageField fld="3" item="0" hier="-1"/>
  </pageFields>
  <dataFields count="1">
    <dataField name="Average of $ TB/year" fld="23" subtotal="average" baseField="0" baseItem="0" numFmtId="164"/>
  </dataFields>
  <formats count="6">
    <format dxfId="31">
      <pivotArea outline="0" collapsedLevelsAreSubtotals="1" fieldPosition="0"/>
    </format>
    <format dxfId="30">
      <pivotArea dataOnly="0" labelOnly="1" fieldPosition="0">
        <references count="1">
          <reference field="4" count="0"/>
        </references>
      </pivotArea>
    </format>
    <format dxfId="29">
      <pivotArea type="all" dataOnly="0" outline="0" fieldPosition="0"/>
    </format>
    <format dxfId="28">
      <pivotArea field="4" type="button" dataOnly="0" labelOnly="1" outline="0" axis="axisRow" fieldPosition="0"/>
    </format>
    <format dxfId="27">
      <pivotArea dataOnly="0" labelOnly="1" outline="0" axis="axisValues" fieldPosition="0"/>
    </format>
    <format dxfId="26">
      <pivotArea dataOnly="0" labelOnly="1" grandRow="1" outline="0"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0" showColStripes="0" showLastColumn="1"/>
</pivotTableDefinition>
</file>

<file path=xl/pivotTables/pivotTable2.xml><?xml version="1.0" encoding="utf-8"?>
<pivotTableDefinition xmlns="http://schemas.openxmlformats.org/spreadsheetml/2006/main" name="NAS Drives Average Price by RPM" cacheId="5" applyNumberFormats="0" applyBorderFormats="0" applyFontFormats="0" applyPatternFormats="0" applyAlignmentFormats="0" applyWidthHeightFormats="1" dataCaption="Values" updatedVersion="3" minRefreshableVersion="3" showDrill="0" useAutoFormatting="1" rowGrandTotals="0" colGrandTotals="0" itemPrintTitles="1" createdVersion="6" indent="0" outline="1" outlineData="1" multipleFieldFilters="0">
  <location ref="A3:B9" firstHeaderRow="1" firstDataRow="1" firstDataCol="1"/>
  <pivotFields count="27">
    <pivotField numFmtId="14" subtotalTop="0" showAll="0"/>
    <pivotField subtotalTop="0" showAll="0"/>
    <pivotField subtotalTop="0" showAll="0"/>
    <pivotField subtotalTop="0" showAll="0"/>
    <pivotField subtotalTop="0" showAll="0"/>
    <pivotField axis="axisRow" numFmtId="3" subtotalTop="0" showAll="0" sortType="ascending">
      <items count="7">
        <item x="1"/>
        <item x="5"/>
        <item x="4"/>
        <item x="0"/>
        <item x="3"/>
        <item x="2"/>
        <item t="default"/>
      </items>
    </pivotField>
    <pivotField subtotalTop="0" showAll="0"/>
    <pivotField subtotalTop="0" showAll="0"/>
    <pivotField numFmtId="9"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numFmtId="164" subtotalTop="0" showAll="0"/>
    <pivotField dataField="1" numFmtId="164" subtotalTop="0" showAll="0"/>
    <pivotField numFmtId="164" subtotalTop="0" showAll="0"/>
    <pivotField numFmtId="164" subtotalTop="0" showAll="0"/>
    <pivotField numFmtId="164" subtotalTop="0" showAll="0"/>
    <pivotField subtotalTop="0" showAll="0"/>
    <pivotField subtotalTop="0" showAll="0"/>
    <pivotField subtotalTop="0" showAll="0"/>
  </pivotFields>
  <rowFields count="1">
    <field x="5"/>
  </rowFields>
  <rowItems count="6">
    <i>
      <x/>
    </i>
    <i>
      <x v="1"/>
    </i>
    <i>
      <x v="2"/>
    </i>
    <i>
      <x v="3"/>
    </i>
    <i>
      <x v="4"/>
    </i>
    <i>
      <x v="5"/>
    </i>
  </rowItems>
  <colItems count="1">
    <i/>
  </colItems>
  <dataFields count="1">
    <dataField name="Average of $ TB" fld="20" subtotal="average" baseField="5" baseItem="0" numFmtId="164"/>
  </dataFields>
  <formats count="20">
    <format dxfId="51">
      <pivotArea outline="0" collapsedLevelsAreSubtotals="1" fieldPosition="0"/>
    </format>
    <format dxfId="50">
      <pivotArea dataOnly="0" labelOnly="1" fieldPosition="0">
        <references count="1">
          <reference field="5" count="0"/>
        </references>
      </pivotArea>
    </format>
    <format dxfId="49">
      <pivotArea type="all" dataOnly="0" outline="0" fieldPosition="0"/>
    </format>
    <format dxfId="48">
      <pivotArea outline="0" collapsedLevelsAreSubtotals="1" fieldPosition="0"/>
    </format>
    <format dxfId="47">
      <pivotArea field="5" type="button" dataOnly="0" labelOnly="1" outline="0" axis="axisRow" fieldPosition="0"/>
    </format>
    <format dxfId="46">
      <pivotArea dataOnly="0" labelOnly="1" outline="0" axis="axisValues" fieldPosition="0"/>
    </format>
    <format dxfId="45">
      <pivotArea dataOnly="0" labelOnly="1" fieldPosition="0">
        <references count="1">
          <reference field="5" count="0"/>
        </references>
      </pivotArea>
    </format>
    <format dxfId="44">
      <pivotArea dataOnly="0" labelOnly="1" outline="0" axis="axisValues" fieldPosition="0"/>
    </format>
    <format dxfId="43">
      <pivotArea type="all" dataOnly="0" outline="0" fieldPosition="0"/>
    </format>
    <format dxfId="42">
      <pivotArea outline="0" collapsedLevelsAreSubtotals="1" fieldPosition="0"/>
    </format>
    <format dxfId="41">
      <pivotArea field="5" type="button" dataOnly="0" labelOnly="1" outline="0" axis="axisRow" fieldPosition="0"/>
    </format>
    <format dxfId="40">
      <pivotArea dataOnly="0" labelOnly="1" outline="0" axis="axisValues" fieldPosition="0"/>
    </format>
    <format dxfId="39">
      <pivotArea dataOnly="0" labelOnly="1" fieldPosition="0">
        <references count="1">
          <reference field="5" count="0"/>
        </references>
      </pivotArea>
    </format>
    <format dxfId="38">
      <pivotArea dataOnly="0" labelOnly="1" outline="0" axis="axisValues" fieldPosition="0"/>
    </format>
    <format dxfId="37">
      <pivotArea type="all" dataOnly="0" outline="0" fieldPosition="0"/>
    </format>
    <format dxfId="36">
      <pivotArea outline="0" collapsedLevelsAreSubtotals="1" fieldPosition="0"/>
    </format>
    <format dxfId="35">
      <pivotArea field="5" type="button" dataOnly="0" labelOnly="1" outline="0" axis="axisRow" fieldPosition="0"/>
    </format>
    <format dxfId="34">
      <pivotArea dataOnly="0" labelOnly="1" outline="0" axis="axisValues" fieldPosition="0"/>
    </format>
    <format dxfId="33">
      <pivotArea dataOnly="0" labelOnly="1" fieldPosition="0">
        <references count="1">
          <reference field="5" count="0"/>
        </references>
      </pivotArea>
    </format>
    <format dxfId="32">
      <pivotArea dataOnly="0" labelOnly="1" outline="0" axis="axisValues" fieldPosition="0"/>
    </format>
  </formats>
  <pivotTableStyleInfo name="PivotStyleDark6" showRowHeaders="1" showColHeaders="1" showRowStripes="1" showColStripes="0" showLastColumn="1"/>
  <extLst>
    <ext xmlns:x14="http://schemas.microsoft.com/office/spreadsheetml/2009/9/main" uri="{962EF5D1-5CA2-4c93-8EF4-DBF5C05439D2}">
      <x14:pivotTableDefinition xmlns:xm="http://schemas.microsoft.com/office/excel/2006/main" altText="NAS Drives Average Price by RPM" hideValuesRow="1"/>
    </ext>
    <ext xmlns:xpdl="http://schemas.microsoft.com/office/spreadsheetml/2016/pivotdefaultlayout" uri="{747A6164-185A-40DC-8AA5-F01512510D54}">
      <xpdl:pivotTableDefinition16 SubtotalsOnTopDefault="0"/>
    </ext>
  </extLst>
</pivotTableDefinition>
</file>

<file path=xl/tables/table1.xml><?xml version="1.0" encoding="utf-8"?>
<table xmlns="http://schemas.openxmlformats.org/spreadsheetml/2006/main" id="5" name="Table5" displayName="Table5" ref="A2:AB122" totalsRowShown="0" headerRowDxfId="79" headerRowBorderDxfId="78" tableBorderDxfId="77">
  <autoFilter ref="A2:AB122"/>
  <sortState ref="A3:U97">
    <sortCondition ref="B3:B97"/>
    <sortCondition ref="C3:C97"/>
    <sortCondition ref="E3:E97"/>
    <sortCondition ref="F3:F97"/>
  </sortState>
  <tableColumns count="28">
    <tableColumn id="1" name="Date" dataDxfId="76"/>
    <tableColumn id="2" name="Manu"/>
    <tableColumn id="3" name="Model" dataDxfId="75"/>
    <tableColumn id="21" name="Type" dataDxfId="74"/>
    <tableColumn id="5" name="SizTB" dataDxfId="73"/>
    <tableColumn id="4" name="RPM" dataDxfId="72"/>
    <tableColumn id="27" name="AvgLatency" dataDxfId="71"/>
    <tableColumn id="28" name="SeekT" dataDxfId="70"/>
    <tableColumn id="6" name="PerfCmp" dataDxfId="69">
      <calculatedColumnFormula>(Table5[[#This Row],[RPM]]/5400-1)</calculatedColumnFormula>
    </tableColumn>
    <tableColumn id="26" name="XferRate" dataDxfId="68"/>
    <tableColumn id="7" name="Warnty"/>
    <tableColumn id="22" name="CycleCnt" dataDxfId="67"/>
    <tableColumn id="23" name="WorkLoad"/>
    <tableColumn id="24" name="MTBF" dataDxfId="66"/>
    <tableColumn id="25" name="RErrRate" dataDxfId="65"/>
    <tableColumn id="18" name="MaxStartupWatts" dataDxfId="64"/>
    <tableColumn id="8" name="Watts Active" dataDxfId="63"/>
    <tableColumn id="9" name="Watts Idle" dataDxfId="62"/>
    <tableColumn id="10" name="WattsStandby" dataDxfId="61"/>
    <tableColumn id="11" name="Cost" dataDxfId="60"/>
    <tableColumn id="12" name="$ TB" dataDxfId="59">
      <calculatedColumnFormula>Table5[[#This Row],[Cost]]/Table5[[#This Row],[SizTB]]</calculatedColumnFormula>
    </tableColumn>
    <tableColumn id="13" name="$+Warr" dataDxfId="58">
      <calculatedColumnFormula>Table5[[#This Row],[Cost]]+((CompareWarrYrs-Table5[[#This Row],[Warnty]])*(Incremental_Warr_Yr*Table5[[#This Row],[Cost]]))</calculatedColumnFormula>
    </tableColumn>
    <tableColumn id="14" name="$PerTB" dataDxfId="57">
      <calculatedColumnFormula>Table5[[#This Row],[$+Warr]]/Table5[[#This Row],[SizTB]]</calculatedColumnFormula>
    </tableColumn>
    <tableColumn id="15" name="$ TB/year" dataDxfId="56">
      <calculatedColumnFormula>Table5[[#This Row],[$PerTB]]/CompareWarrYrs</calculatedColumnFormula>
    </tableColumn>
    <tableColumn id="16" name="Comp $/Perf/Size" dataDxfId="55"/>
    <tableColumn id="17" name="Energy$year" dataDxfId="54">
      <calculatedColumnFormula>((30/(1000/Q3/24)*$F$134)+(30/(1000/R3/24)*(100%-$F$134)))*$F$133*12</calculatedColumnFormula>
    </tableColumn>
    <tableColumn id="20" name="Energy$yearPerTB" dataDxfId="53">
      <calculatedColumnFormula>Table5[[#This Row],[Energy$year]]/Table5[[#This Row],[SizTB]]</calculatedColumnFormula>
    </tableColumn>
    <tableColumn id="19" name="Notes" dataDxfId="52"/>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B143"/>
  <sheetViews>
    <sheetView tabSelected="1" zoomScale="96" zoomScaleNormal="96" workbookViewId="0">
      <pane ySplit="2" topLeftCell="A61" activePane="bottomLeft" state="frozen"/>
      <selection pane="bottomLeft" activeCell="P72" sqref="P72"/>
    </sheetView>
  </sheetViews>
  <sheetFormatPr defaultRowHeight="15"/>
  <cols>
    <col min="1" max="1" width="9.85546875" bestFit="1" customWidth="1"/>
    <col min="2" max="2" width="8.28515625" customWidth="1"/>
    <col min="3" max="3" width="20.7109375" bestFit="1" customWidth="1"/>
    <col min="4" max="4" width="7.5703125" customWidth="1"/>
    <col min="5" max="5" width="7.140625" style="4" customWidth="1"/>
    <col min="6" max="8" width="7.85546875" customWidth="1"/>
    <col min="10" max="10" width="10.85546875" customWidth="1"/>
    <col min="11" max="11" width="8.85546875" customWidth="1"/>
    <col min="12" max="12" width="8.140625" customWidth="1"/>
    <col min="13" max="13" width="9.28515625" customWidth="1"/>
    <col min="14" max="17" width="9.7109375" customWidth="1"/>
    <col min="18" max="19" width="11.28515625" customWidth="1"/>
    <col min="20" max="20" width="10.42578125" customWidth="1"/>
    <col min="21" max="21" width="8.5703125" customWidth="1"/>
    <col min="22" max="22" width="9" bestFit="1" customWidth="1"/>
    <col min="23" max="23" width="9.85546875" style="3" customWidth="1"/>
    <col min="24" max="24" width="9.42578125" style="3" customWidth="1"/>
    <col min="25" max="25" width="11.42578125" style="3" customWidth="1"/>
    <col min="26" max="26" width="18.7109375" customWidth="1"/>
    <col min="27" max="27" width="10.85546875" customWidth="1"/>
    <col min="28" max="29" width="26.42578125" customWidth="1"/>
  </cols>
  <sheetData>
    <row r="1" spans="1:28" ht="15.75" thickBot="1">
      <c r="A1" s="13"/>
      <c r="B1" s="139"/>
      <c r="C1" s="140"/>
      <c r="D1" s="138"/>
      <c r="E1" s="138"/>
      <c r="F1" s="160" t="s">
        <v>87</v>
      </c>
      <c r="G1" s="161"/>
      <c r="H1" s="161"/>
      <c r="I1" s="161"/>
      <c r="J1" s="162"/>
      <c r="K1" s="151" t="s">
        <v>114</v>
      </c>
      <c r="L1" s="152"/>
      <c r="M1" s="152"/>
      <c r="N1" s="152"/>
      <c r="O1" s="153"/>
      <c r="P1" s="163" t="s">
        <v>89</v>
      </c>
      <c r="Q1" s="164"/>
      <c r="R1" s="164"/>
      <c r="S1" s="165"/>
      <c r="T1" s="149" t="s">
        <v>38</v>
      </c>
      <c r="U1" s="150"/>
      <c r="V1" s="147" t="s">
        <v>42</v>
      </c>
      <c r="W1" s="148"/>
      <c r="X1" s="148"/>
      <c r="Y1" s="45" t="s">
        <v>34</v>
      </c>
      <c r="Z1" s="154" t="s">
        <v>58</v>
      </c>
      <c r="AA1" s="155"/>
      <c r="AB1" s="46"/>
    </row>
    <row r="2" spans="1:28" s="2" customFormat="1" ht="15.75" thickBot="1">
      <c r="A2" s="8" t="s">
        <v>0</v>
      </c>
      <c r="B2" s="8" t="s">
        <v>1</v>
      </c>
      <c r="C2" s="8" t="s">
        <v>4</v>
      </c>
      <c r="D2" s="41" t="s">
        <v>59</v>
      </c>
      <c r="E2" s="9" t="s">
        <v>29</v>
      </c>
      <c r="F2" s="85" t="s">
        <v>7</v>
      </c>
      <c r="G2" s="9" t="s">
        <v>83</v>
      </c>
      <c r="H2" s="9" t="s">
        <v>86</v>
      </c>
      <c r="I2" s="42" t="s">
        <v>78</v>
      </c>
      <c r="J2" s="86" t="s">
        <v>75</v>
      </c>
      <c r="K2" s="42" t="s">
        <v>28</v>
      </c>
      <c r="L2" s="31" t="s">
        <v>74</v>
      </c>
      <c r="M2" s="31" t="s">
        <v>73</v>
      </c>
      <c r="N2" s="31" t="s">
        <v>71</v>
      </c>
      <c r="O2" s="41" t="s">
        <v>72</v>
      </c>
      <c r="P2" s="43" t="s">
        <v>41</v>
      </c>
      <c r="Q2" s="31" t="s">
        <v>8</v>
      </c>
      <c r="R2" s="31" t="s">
        <v>9</v>
      </c>
      <c r="S2" s="44" t="s">
        <v>35</v>
      </c>
      <c r="T2" s="42" t="s">
        <v>2</v>
      </c>
      <c r="U2" s="44" t="s">
        <v>3</v>
      </c>
      <c r="V2" s="43" t="s">
        <v>37</v>
      </c>
      <c r="W2" s="31" t="s">
        <v>56</v>
      </c>
      <c r="X2" s="44" t="s">
        <v>21</v>
      </c>
      <c r="Y2" s="42" t="s">
        <v>36</v>
      </c>
      <c r="Z2" s="31" t="s">
        <v>23</v>
      </c>
      <c r="AA2" s="31" t="s">
        <v>55</v>
      </c>
      <c r="AB2" s="15" t="s">
        <v>47</v>
      </c>
    </row>
    <row r="3" spans="1:28" ht="15.75" thickTop="1">
      <c r="A3" s="1">
        <v>42984</v>
      </c>
      <c r="B3" t="s">
        <v>15</v>
      </c>
      <c r="C3" s="129" t="s">
        <v>16</v>
      </c>
      <c r="D3" s="38" t="s">
        <v>60</v>
      </c>
      <c r="E3" s="120">
        <v>4</v>
      </c>
      <c r="F3" s="53">
        <v>7200</v>
      </c>
      <c r="G3" s="5"/>
      <c r="H3" s="5">
        <v>11.99</v>
      </c>
      <c r="I3" s="87">
        <f>(Table5[[#This Row],[RPM]]/5400-1)</f>
        <v>0.33333333333333326</v>
      </c>
      <c r="J3" s="56">
        <v>202</v>
      </c>
      <c r="K3">
        <v>3</v>
      </c>
      <c r="L3" s="48">
        <v>600000</v>
      </c>
      <c r="N3" s="48">
        <v>1000000</v>
      </c>
      <c r="O3" s="47">
        <f t="shared" ref="O3:O6" si="0">10^14</f>
        <v>100000000000000</v>
      </c>
      <c r="P3" s="75">
        <f t="shared" ref="P3:P6" si="1">1.2*5+2*12</f>
        <v>30</v>
      </c>
      <c r="Q3" s="5"/>
      <c r="R3" s="5">
        <v>7.3</v>
      </c>
      <c r="S3" s="76"/>
      <c r="T3" s="71">
        <v>133.99</v>
      </c>
      <c r="U3" s="10">
        <f>Table5[[#This Row],[Cost]]/Table5[[#This Row],[SizTB]]</f>
        <v>33.497500000000002</v>
      </c>
      <c r="V3" s="11">
        <f>Table5[[#This Row],[Cost]]+((CompareWarrYrs-Table5[[#This Row],[Warnty]])*(Incremental_Warr_Yr*Table5[[#This Row],[Cost]]))</f>
        <v>163.46780000000001</v>
      </c>
      <c r="W3" s="6">
        <f>Table5[[#This Row],[$+Warr]]/Table5[[#This Row],[SizTB]]</f>
        <v>40.866950000000003</v>
      </c>
      <c r="X3" s="10">
        <f>Table5[[#This Row],[$PerTB]]/CompareWarrYrs</f>
        <v>8.1733900000000013</v>
      </c>
      <c r="Y3" s="7"/>
      <c r="Z3" s="59"/>
      <c r="AA3" s="60"/>
      <c r="AB3" s="118" t="s">
        <v>109</v>
      </c>
    </row>
    <row r="4" spans="1:28">
      <c r="A4" s="1">
        <v>43008</v>
      </c>
      <c r="B4" t="s">
        <v>15</v>
      </c>
      <c r="C4" s="129" t="s">
        <v>16</v>
      </c>
      <c r="D4" s="38" t="s">
        <v>60</v>
      </c>
      <c r="E4" s="120">
        <v>6</v>
      </c>
      <c r="F4" s="54">
        <v>7200</v>
      </c>
      <c r="G4" s="5"/>
      <c r="H4" s="5">
        <v>11.99</v>
      </c>
      <c r="I4" s="87">
        <f>(Table5[[#This Row],[RPM]]/5400-1)</f>
        <v>0.33333333333333326</v>
      </c>
      <c r="J4" s="57">
        <v>227</v>
      </c>
      <c r="K4">
        <v>3</v>
      </c>
      <c r="L4" s="48">
        <v>600000</v>
      </c>
      <c r="N4" s="48">
        <v>1000000</v>
      </c>
      <c r="O4" s="47">
        <f t="shared" si="0"/>
        <v>100000000000000</v>
      </c>
      <c r="P4" s="75">
        <f t="shared" si="1"/>
        <v>30</v>
      </c>
      <c r="Q4" s="5"/>
      <c r="R4" s="5">
        <v>7.3</v>
      </c>
      <c r="S4" s="76"/>
      <c r="T4" s="71">
        <f>329.99/2</f>
        <v>164.995</v>
      </c>
      <c r="U4" s="10">
        <f>Table5[[#This Row],[Cost]]/Table5[[#This Row],[SizTB]]</f>
        <v>27.499166666666667</v>
      </c>
      <c r="V4" s="11">
        <f>Table5[[#This Row],[Cost]]+((CompareWarrYrs-Table5[[#This Row],[Warnty]])*(Incremental_Warr_Yr*Table5[[#This Row],[Cost]]))</f>
        <v>201.29390000000001</v>
      </c>
      <c r="W4" s="6">
        <f>Table5[[#This Row],[$+Warr]]/Table5[[#This Row],[SizTB]]</f>
        <v>33.548983333333332</v>
      </c>
      <c r="X4" s="10">
        <f>Table5[[#This Row],[$PerTB]]/CompareWarrYrs</f>
        <v>6.7097966666666666</v>
      </c>
      <c r="Y4" s="7"/>
      <c r="Z4" s="61"/>
      <c r="AA4" s="60"/>
      <c r="AB4" s="119" t="s">
        <v>100</v>
      </c>
    </row>
    <row r="5" spans="1:28">
      <c r="A5" s="1">
        <v>43014</v>
      </c>
      <c r="B5" t="s">
        <v>15</v>
      </c>
      <c r="C5" s="129" t="s">
        <v>16</v>
      </c>
      <c r="D5" s="38" t="s">
        <v>60</v>
      </c>
      <c r="E5" s="120">
        <v>8</v>
      </c>
      <c r="F5" s="54">
        <v>7200</v>
      </c>
      <c r="G5" s="5"/>
      <c r="H5" s="5">
        <v>11.99</v>
      </c>
      <c r="I5" s="87">
        <f>(Table5[[#This Row],[RPM]]/5400-1)</f>
        <v>0.33333333333333326</v>
      </c>
      <c r="J5" s="57">
        <v>205</v>
      </c>
      <c r="K5">
        <v>3</v>
      </c>
      <c r="L5" s="48">
        <v>600000</v>
      </c>
      <c r="N5" s="48">
        <v>1000000</v>
      </c>
      <c r="O5" s="47">
        <f t="shared" si="0"/>
        <v>100000000000000</v>
      </c>
      <c r="P5" s="75">
        <f t="shared" si="1"/>
        <v>30</v>
      </c>
      <c r="Q5" s="5"/>
      <c r="R5" s="5">
        <v>5.0999999999999996</v>
      </c>
      <c r="S5" s="76"/>
      <c r="T5" s="71">
        <v>249.99</v>
      </c>
      <c r="U5" s="10">
        <f>Table5[[#This Row],[Cost]]/Table5[[#This Row],[SizTB]]</f>
        <v>31.248750000000001</v>
      </c>
      <c r="V5" s="11">
        <f>Table5[[#This Row],[Cost]]+((CompareWarrYrs-Table5[[#This Row],[Warnty]])*(Incremental_Warr_Yr*Table5[[#This Row],[Cost]]))</f>
        <v>304.98779999999999</v>
      </c>
      <c r="W5" s="6">
        <f>Table5[[#This Row],[$+Warr]]/Table5[[#This Row],[SizTB]]</f>
        <v>38.123474999999999</v>
      </c>
      <c r="X5" s="10">
        <f>Table5[[#This Row],[$PerTB]]/CompareWarrYrs</f>
        <v>7.624695</v>
      </c>
      <c r="Y5" s="7"/>
      <c r="Z5" s="61"/>
      <c r="AA5" s="60"/>
      <c r="AB5" s="52"/>
    </row>
    <row r="6" spans="1:28">
      <c r="A6" s="1">
        <v>43005</v>
      </c>
      <c r="B6" t="s">
        <v>15</v>
      </c>
      <c r="C6" s="129" t="s">
        <v>16</v>
      </c>
      <c r="D6" s="38" t="s">
        <v>60</v>
      </c>
      <c r="E6" s="120">
        <v>10</v>
      </c>
      <c r="F6" s="54">
        <v>7200</v>
      </c>
      <c r="G6" s="5"/>
      <c r="H6" s="5">
        <v>11.99</v>
      </c>
      <c r="I6" s="87">
        <f>(Table5[[#This Row],[RPM]]/5400-1)</f>
        <v>0.33333333333333326</v>
      </c>
      <c r="J6" s="57">
        <v>240</v>
      </c>
      <c r="K6">
        <v>3</v>
      </c>
      <c r="L6" s="48">
        <v>600000</v>
      </c>
      <c r="N6" s="48">
        <v>1000000</v>
      </c>
      <c r="O6" s="47">
        <f t="shared" si="0"/>
        <v>100000000000000</v>
      </c>
      <c r="P6" s="75">
        <f t="shared" si="1"/>
        <v>30</v>
      </c>
      <c r="Q6" s="5"/>
      <c r="R6" s="5">
        <v>5.0999999999999996</v>
      </c>
      <c r="S6" s="76"/>
      <c r="T6" s="71">
        <v>329.99</v>
      </c>
      <c r="U6" s="10">
        <f>Table5[[#This Row],[Cost]]/Table5[[#This Row],[SizTB]]</f>
        <v>32.999000000000002</v>
      </c>
      <c r="V6" s="11">
        <f>Table5[[#This Row],[Cost]]+((CompareWarrYrs-Table5[[#This Row],[Warnty]])*(Incremental_Warr_Yr*Table5[[#This Row],[Cost]]))</f>
        <v>402.58780000000002</v>
      </c>
      <c r="W6" s="6">
        <f>Table5[[#This Row],[$+Warr]]/Table5[[#This Row],[SizTB]]</f>
        <v>40.258780000000002</v>
      </c>
      <c r="X6" s="10">
        <f>Table5[[#This Row],[$PerTB]]/CompareWarrYrs</f>
        <v>8.051756000000001</v>
      </c>
      <c r="Y6" s="7"/>
      <c r="Z6" s="61"/>
      <c r="AA6" s="60"/>
      <c r="AB6" s="52"/>
    </row>
    <row r="7" spans="1:28">
      <c r="A7" s="1">
        <v>43005</v>
      </c>
      <c r="B7" t="s">
        <v>15</v>
      </c>
      <c r="C7" s="129" t="s">
        <v>102</v>
      </c>
      <c r="D7" s="38"/>
      <c r="E7" s="120">
        <v>1</v>
      </c>
      <c r="F7" s="54">
        <v>5400</v>
      </c>
      <c r="G7" s="5">
        <v>5.5</v>
      </c>
      <c r="H7" s="5">
        <v>12</v>
      </c>
      <c r="I7" s="87">
        <f>(Table5[[#This Row],[RPM]]/5400-1)</f>
        <v>0</v>
      </c>
      <c r="J7" s="57">
        <v>99</v>
      </c>
      <c r="K7">
        <v>3</v>
      </c>
      <c r="L7" s="48">
        <v>600000</v>
      </c>
      <c r="N7" s="48"/>
      <c r="O7" s="47"/>
      <c r="P7" s="75">
        <v>4.5</v>
      </c>
      <c r="Q7" s="5">
        <v>1.6</v>
      </c>
      <c r="R7" s="5">
        <v>0.8</v>
      </c>
      <c r="S7" s="76">
        <v>0.2</v>
      </c>
      <c r="T7" s="71">
        <v>49.99</v>
      </c>
      <c r="U7" s="10">
        <f>Table5[[#This Row],[Cost]]/Table5[[#This Row],[SizTB]]</f>
        <v>49.99</v>
      </c>
      <c r="V7" s="11">
        <f>Table5[[#This Row],[Cost]]+((CompareWarrYrs-Table5[[#This Row],[Warnty]])*(Incremental_Warr_Yr*Table5[[#This Row],[Cost]]))</f>
        <v>60.9878</v>
      </c>
      <c r="W7" s="6">
        <f>Table5[[#This Row],[$+Warr]]/Table5[[#This Row],[SizTB]]</f>
        <v>60.9878</v>
      </c>
      <c r="X7" s="10">
        <f>Table5[[#This Row],[$PerTB]]/CompareWarrYrs</f>
        <v>12.197559999999999</v>
      </c>
      <c r="Y7" s="7"/>
      <c r="Z7" s="59"/>
      <c r="AA7" s="60"/>
      <c r="AB7" s="52"/>
    </row>
    <row r="8" spans="1:28">
      <c r="A8" s="1">
        <v>43005</v>
      </c>
      <c r="B8" t="s">
        <v>15</v>
      </c>
      <c r="C8" s="129" t="s">
        <v>101</v>
      </c>
      <c r="D8" s="38"/>
      <c r="E8" s="120">
        <v>1</v>
      </c>
      <c r="F8" s="54">
        <v>7200</v>
      </c>
      <c r="G8" s="5">
        <v>4.2</v>
      </c>
      <c r="H8" s="5">
        <v>12</v>
      </c>
      <c r="I8" s="87">
        <f>(Table5[[#This Row],[RPM]]/5400-1)</f>
        <v>0.33333333333333326</v>
      </c>
      <c r="J8" s="57">
        <v>128</v>
      </c>
      <c r="K8">
        <v>3</v>
      </c>
      <c r="L8" s="48">
        <v>600000</v>
      </c>
      <c r="N8" s="48"/>
      <c r="O8" s="47"/>
      <c r="P8" s="75">
        <v>5.5</v>
      </c>
      <c r="Q8" s="5">
        <v>1.8</v>
      </c>
      <c r="R8" s="5">
        <v>1</v>
      </c>
      <c r="S8" s="76">
        <v>0.2</v>
      </c>
      <c r="T8" s="71">
        <v>54.99</v>
      </c>
      <c r="U8" s="10">
        <f>Table5[[#This Row],[Cost]]/Table5[[#This Row],[SizTB]]</f>
        <v>54.99</v>
      </c>
      <c r="V8" s="11">
        <f>Table5[[#This Row],[Cost]]+((CompareWarrYrs-Table5[[#This Row],[Warnty]])*(Incremental_Warr_Yr*Table5[[#This Row],[Cost]]))</f>
        <v>67.087800000000001</v>
      </c>
      <c r="W8" s="6">
        <f>Table5[[#This Row],[$+Warr]]/Table5[[#This Row],[SizTB]]</f>
        <v>67.087800000000001</v>
      </c>
      <c r="X8" s="10">
        <f>Table5[[#This Row],[$PerTB]]/CompareWarrYrs</f>
        <v>13.41756</v>
      </c>
      <c r="Y8" s="7"/>
      <c r="Z8" s="59"/>
      <c r="AA8" s="60"/>
      <c r="AB8" s="52"/>
    </row>
    <row r="9" spans="1:28">
      <c r="A9" s="1">
        <v>42984</v>
      </c>
      <c r="B9" t="s">
        <v>15</v>
      </c>
      <c r="C9" s="129" t="s">
        <v>30</v>
      </c>
      <c r="D9" s="38" t="s">
        <v>60</v>
      </c>
      <c r="E9" s="120">
        <v>2</v>
      </c>
      <c r="F9" s="54">
        <v>7200</v>
      </c>
      <c r="G9" s="5">
        <v>4.16</v>
      </c>
      <c r="H9" s="5">
        <v>8</v>
      </c>
      <c r="I9" s="87">
        <f>(Table5[[#This Row],[RPM]]/5400-1)</f>
        <v>0.33333333333333326</v>
      </c>
      <c r="J9" s="57">
        <v>202</v>
      </c>
      <c r="K9">
        <v>5</v>
      </c>
      <c r="L9" s="48">
        <v>600000</v>
      </c>
      <c r="N9" s="48">
        <v>2000000</v>
      </c>
      <c r="O9" s="47">
        <v>1000000000000000</v>
      </c>
      <c r="P9" s="75"/>
      <c r="Q9" s="5">
        <v>9.1</v>
      </c>
      <c r="R9" s="5">
        <v>7.1</v>
      </c>
      <c r="S9" s="76"/>
      <c r="T9" s="71">
        <v>149.34</v>
      </c>
      <c r="U9" s="10">
        <f>Table5[[#This Row],[Cost]]/Table5[[#This Row],[SizTB]]</f>
        <v>74.67</v>
      </c>
      <c r="V9" s="11">
        <f>Table5[[#This Row],[Cost]]+((CompareWarrYrs-Table5[[#This Row],[Warnty]])*(Incremental_Warr_Yr*Table5[[#This Row],[Cost]]))</f>
        <v>149.34</v>
      </c>
      <c r="W9" s="6">
        <f>Table5[[#This Row],[$+Warr]]/Table5[[#This Row],[SizTB]]</f>
        <v>74.67</v>
      </c>
      <c r="X9" s="10">
        <f>Table5[[#This Row],[$PerTB]]/CompareWarrYrs</f>
        <v>14.934000000000001</v>
      </c>
      <c r="Y9" s="7"/>
      <c r="Z9" s="59">
        <f>(((Table5[[#This Row],[Watts Active]]*Power_On_Hours_Year/1000)*Active_Duty_Cycle)+((Table5[[#This Row],[Watts Idle]]*Power_On_Hours_Year/1000)*(100%-Active_Duty_Cycle)))*CostPerKWH</f>
        <v>8.2179000000000002</v>
      </c>
      <c r="AA9" s="60">
        <f>Table5[[#This Row],[Energy$year]]/Table5[[#This Row],[SizTB]]</f>
        <v>4.1089500000000001</v>
      </c>
      <c r="AB9" s="52"/>
    </row>
    <row r="10" spans="1:28">
      <c r="A10" s="1">
        <v>42984</v>
      </c>
      <c r="B10" t="s">
        <v>15</v>
      </c>
      <c r="C10" s="129" t="s">
        <v>30</v>
      </c>
      <c r="D10" s="38" t="s">
        <v>60</v>
      </c>
      <c r="E10" s="120">
        <v>4</v>
      </c>
      <c r="F10" s="54">
        <v>7200</v>
      </c>
      <c r="G10" s="5">
        <v>4.16</v>
      </c>
      <c r="H10" s="5">
        <v>8</v>
      </c>
      <c r="I10" s="87">
        <f>(Table5[[#This Row],[RPM]]/5400-1)</f>
        <v>0.33333333333333326</v>
      </c>
      <c r="J10" s="57">
        <v>202</v>
      </c>
      <c r="K10">
        <v>5</v>
      </c>
      <c r="L10" s="48">
        <v>600000</v>
      </c>
      <c r="N10" s="48">
        <v>2000000</v>
      </c>
      <c r="O10" s="47">
        <v>1000000000000000</v>
      </c>
      <c r="P10" s="75"/>
      <c r="Q10" s="5">
        <v>9.1</v>
      </c>
      <c r="R10" s="5">
        <v>7.1</v>
      </c>
      <c r="S10" s="76"/>
      <c r="T10" s="71">
        <v>255.99</v>
      </c>
      <c r="U10" s="10">
        <f>Table5[[#This Row],[Cost]]/Table5[[#This Row],[SizTB]]</f>
        <v>63.997500000000002</v>
      </c>
      <c r="V10" s="11">
        <f>Table5[[#This Row],[Cost]]+((CompareWarrYrs-Table5[[#This Row],[Warnty]])*(Incremental_Warr_Yr*Table5[[#This Row],[Cost]]))</f>
        <v>255.99</v>
      </c>
      <c r="W10" s="6">
        <f>Table5[[#This Row],[$+Warr]]/Table5[[#This Row],[SizTB]]</f>
        <v>63.997500000000002</v>
      </c>
      <c r="X10" s="10">
        <f>Table5[[#This Row],[$PerTB]]/CompareWarrYrs</f>
        <v>12.7995</v>
      </c>
      <c r="Y10" s="7"/>
      <c r="Z10" s="59">
        <f>(((Table5[[#This Row],[Watts Active]]*Power_On_Hours_Year/1000)*Active_Duty_Cycle)+((Table5[[#This Row],[Watts Idle]]*Power_On_Hours_Year/1000)*(100%-Active_Duty_Cycle)))*CostPerKWH</f>
        <v>8.2179000000000002</v>
      </c>
      <c r="AA10" s="60">
        <f>Table5[[#This Row],[Energy$year]]/Table5[[#This Row],[SizTB]]</f>
        <v>2.0544750000000001</v>
      </c>
      <c r="AB10" s="52"/>
    </row>
    <row r="11" spans="1:28">
      <c r="A11" s="1">
        <v>42984</v>
      </c>
      <c r="B11" t="s">
        <v>15</v>
      </c>
      <c r="C11" s="129" t="s">
        <v>30</v>
      </c>
      <c r="D11" s="38" t="s">
        <v>60</v>
      </c>
      <c r="E11" s="120">
        <v>5</v>
      </c>
      <c r="F11" s="54">
        <v>7200</v>
      </c>
      <c r="G11" s="5">
        <v>4.16</v>
      </c>
      <c r="H11" s="5">
        <v>8</v>
      </c>
      <c r="I11" s="87">
        <f>(Table5[[#This Row],[RPM]]/5400-1)</f>
        <v>0.33333333333333326</v>
      </c>
      <c r="J11" s="57">
        <v>202</v>
      </c>
      <c r="K11">
        <v>5</v>
      </c>
      <c r="L11" s="48">
        <v>600000</v>
      </c>
      <c r="N11" s="48">
        <v>2000000</v>
      </c>
      <c r="O11" s="47">
        <v>1000000000000000</v>
      </c>
      <c r="P11" s="75"/>
      <c r="Q11" s="5">
        <v>9.1</v>
      </c>
      <c r="R11" s="5">
        <v>7.1</v>
      </c>
      <c r="S11" s="76"/>
      <c r="T11" s="71">
        <v>381.42</v>
      </c>
      <c r="U11" s="10">
        <f>Table5[[#This Row],[Cost]]/Table5[[#This Row],[SizTB]]</f>
        <v>76.284000000000006</v>
      </c>
      <c r="V11" s="11">
        <f>Table5[[#This Row],[Cost]]+((CompareWarrYrs-Table5[[#This Row],[Warnty]])*(Incremental_Warr_Yr*Table5[[#This Row],[Cost]]))</f>
        <v>381.42</v>
      </c>
      <c r="W11" s="6">
        <f>Table5[[#This Row],[$+Warr]]/Table5[[#This Row],[SizTB]]</f>
        <v>76.284000000000006</v>
      </c>
      <c r="X11" s="10">
        <f>Table5[[#This Row],[$PerTB]]/CompareWarrYrs</f>
        <v>15.256800000000002</v>
      </c>
      <c r="Y11" s="7"/>
      <c r="Z11" s="59">
        <f>(((Table5[[#This Row],[Watts Active]]*Power_On_Hours_Year/1000)*Active_Duty_Cycle)+((Table5[[#This Row],[Watts Idle]]*Power_On_Hours_Year/1000)*(100%-Active_Duty_Cycle)))*CostPerKWH</f>
        <v>8.2179000000000002</v>
      </c>
      <c r="AA11" s="60">
        <f>Table5[[#This Row],[Energy$year]]/Table5[[#This Row],[SizTB]]</f>
        <v>1.64358</v>
      </c>
      <c r="AB11" s="52"/>
    </row>
    <row r="12" spans="1:28">
      <c r="A12" s="1">
        <v>42984</v>
      </c>
      <c r="B12" t="s">
        <v>15</v>
      </c>
      <c r="C12" s="129" t="s">
        <v>30</v>
      </c>
      <c r="D12" s="38" t="s">
        <v>60</v>
      </c>
      <c r="E12" s="120">
        <v>6</v>
      </c>
      <c r="F12" s="54">
        <v>7200</v>
      </c>
      <c r="G12" s="5">
        <v>4.16</v>
      </c>
      <c r="H12" s="5">
        <v>8</v>
      </c>
      <c r="I12" s="87">
        <f>(Table5[[#This Row],[RPM]]/5400-1)</f>
        <v>0.33333333333333326</v>
      </c>
      <c r="J12" s="57">
        <v>227</v>
      </c>
      <c r="K12">
        <v>5</v>
      </c>
      <c r="L12" s="48">
        <v>600000</v>
      </c>
      <c r="N12" s="48">
        <v>2000000</v>
      </c>
      <c r="O12" s="47">
        <v>1000000000000000</v>
      </c>
      <c r="P12" s="75"/>
      <c r="Q12" s="5">
        <v>9.1</v>
      </c>
      <c r="R12" s="5">
        <v>7.1</v>
      </c>
      <c r="S12" s="76"/>
      <c r="T12" s="71">
        <v>301.52999999999997</v>
      </c>
      <c r="U12" s="10">
        <f>Table5[[#This Row],[Cost]]/Table5[[#This Row],[SizTB]]</f>
        <v>50.254999999999995</v>
      </c>
      <c r="V12" s="11">
        <f>Table5[[#This Row],[Cost]]+((CompareWarrYrs-Table5[[#This Row],[Warnty]])*(Incremental_Warr_Yr*Table5[[#This Row],[Cost]]))</f>
        <v>301.52999999999997</v>
      </c>
      <c r="W12" s="6">
        <f>Table5[[#This Row],[$+Warr]]/Table5[[#This Row],[SizTB]]</f>
        <v>50.254999999999995</v>
      </c>
      <c r="X12" s="10">
        <f>Table5[[#This Row],[$PerTB]]/CompareWarrYrs</f>
        <v>10.050999999999998</v>
      </c>
      <c r="Y12" s="7"/>
      <c r="Z12" s="59">
        <f>(((Table5[[#This Row],[Watts Active]]*Power_On_Hours_Year/1000)*Active_Duty_Cycle)+((Table5[[#This Row],[Watts Idle]]*Power_On_Hours_Year/1000)*(100%-Active_Duty_Cycle)))*CostPerKWH</f>
        <v>8.2179000000000002</v>
      </c>
      <c r="AA12" s="60">
        <f>Table5[[#This Row],[Energy$year]]/Table5[[#This Row],[SizTB]]</f>
        <v>1.36965</v>
      </c>
      <c r="AB12" s="52"/>
    </row>
    <row r="13" spans="1:28" ht="17.25">
      <c r="A13" s="1">
        <v>42846</v>
      </c>
      <c r="B13" t="s">
        <v>15</v>
      </c>
      <c r="C13" s="129" t="s">
        <v>107</v>
      </c>
      <c r="D13" s="38"/>
      <c r="E13" s="120">
        <v>8</v>
      </c>
      <c r="F13" s="54">
        <v>7200</v>
      </c>
      <c r="G13" s="5"/>
      <c r="H13" s="5"/>
      <c r="I13" s="87">
        <f>(Table5[[#This Row],[RPM]]/5400-1)</f>
        <v>0.33333333333333326</v>
      </c>
      <c r="J13" s="57"/>
      <c r="K13">
        <v>5</v>
      </c>
      <c r="L13" s="48"/>
      <c r="N13" s="48"/>
      <c r="O13" s="47"/>
      <c r="P13" s="75"/>
      <c r="Q13" s="5">
        <v>7.6</v>
      </c>
      <c r="R13" s="5">
        <v>5.0999999999999996</v>
      </c>
      <c r="S13" s="76"/>
      <c r="T13" s="71">
        <v>373</v>
      </c>
      <c r="U13" s="10">
        <f>Table5[[#This Row],[Cost]]/Table5[[#This Row],[SizTB]]</f>
        <v>46.625</v>
      </c>
      <c r="V13" s="11">
        <f>Table5[[#This Row],[Cost]]+((CompareWarrYrs-Table5[[#This Row],[Warnty]])*(Incremental_Warr_Yr*Table5[[#This Row],[Cost]]))</f>
        <v>373</v>
      </c>
      <c r="W13" s="6">
        <f>Table5[[#This Row],[$+Warr]]/Table5[[#This Row],[SizTB]]</f>
        <v>46.625</v>
      </c>
      <c r="X13" s="10">
        <f>Table5[[#This Row],[$PerTB]]/CompareWarrYrs</f>
        <v>9.3249999999999993</v>
      </c>
      <c r="Y13" s="7"/>
      <c r="Z13" s="59">
        <f>(((Table5[[#This Row],[Watts Active]]*Power_On_Hours_Year/1000)*Active_Duty_Cycle)+((Table5[[#This Row],[Watts Idle]]*Power_On_Hours_Year/1000)*(100%-Active_Duty_Cycle)))*CostPerKWH</f>
        <v>6.1360319999999993</v>
      </c>
      <c r="AA13" s="60">
        <f>Table5[[#This Row],[Energy$year]]/Table5[[#This Row],[SizTB]]</f>
        <v>0.76700399999999991</v>
      </c>
      <c r="AB13" s="52" t="s">
        <v>43</v>
      </c>
    </row>
    <row r="14" spans="1:28">
      <c r="A14" s="1">
        <v>42984</v>
      </c>
      <c r="B14" t="s">
        <v>15</v>
      </c>
      <c r="C14" s="129" t="s">
        <v>85</v>
      </c>
      <c r="D14" s="38" t="s">
        <v>60</v>
      </c>
      <c r="E14" s="120">
        <v>0.6</v>
      </c>
      <c r="F14" s="54">
        <v>15030</v>
      </c>
      <c r="G14" s="5">
        <v>2</v>
      </c>
      <c r="H14" s="5"/>
      <c r="I14" s="87">
        <f>(Table5[[#This Row],[RPM]]/5400-1)</f>
        <v>1.7833333333333332</v>
      </c>
      <c r="J14" s="57">
        <v>250</v>
      </c>
      <c r="K14">
        <v>5</v>
      </c>
      <c r="L14" s="48"/>
      <c r="N14" s="48">
        <v>2000000</v>
      </c>
      <c r="O14" s="47">
        <v>1E+17</v>
      </c>
      <c r="P14" s="75"/>
      <c r="Q14" s="5">
        <v>7.5</v>
      </c>
      <c r="R14" s="5">
        <v>5.8</v>
      </c>
      <c r="S14" s="76"/>
      <c r="T14" s="71">
        <v>119.2</v>
      </c>
      <c r="U14" s="10">
        <f>Table5[[#This Row],[Cost]]/Table5[[#This Row],[SizTB]]</f>
        <v>198.66666666666669</v>
      </c>
      <c r="V14" s="11">
        <f>Table5[[#This Row],[Cost]]+((CompareWarrYrs-Table5[[#This Row],[Warnty]])*(Incremental_Warr_Yr*Table5[[#This Row],[Cost]]))</f>
        <v>119.2</v>
      </c>
      <c r="W14" s="6">
        <f>Table5[[#This Row],[$+Warr]]/Table5[[#This Row],[SizTB]]</f>
        <v>198.66666666666669</v>
      </c>
      <c r="X14" s="10">
        <f>Table5[[#This Row],[$PerTB]]/CompareWarrYrs</f>
        <v>39.733333333333334</v>
      </c>
      <c r="Y14" s="7"/>
      <c r="Z14" s="59">
        <f>(((Table5[[#This Row],[Watts Active]]*Power_On_Hours_Year/1000)*Active_Duty_Cycle)+((Table5[[#This Row],[Watts Idle]]*Power_On_Hours_Year/1000)*(100%-Active_Duty_Cycle)))*CostPerKWH</f>
        <v>6.7277208000000002</v>
      </c>
      <c r="AA14" s="60">
        <f>Table5[[#This Row],[Energy$year]]/Table5[[#This Row],[SizTB]]</f>
        <v>11.212868</v>
      </c>
      <c r="AB14" s="52"/>
    </row>
    <row r="15" spans="1:28">
      <c r="A15" s="1">
        <v>42984</v>
      </c>
      <c r="B15" t="s">
        <v>15</v>
      </c>
      <c r="C15" s="129" t="s">
        <v>45</v>
      </c>
      <c r="D15" s="38" t="s">
        <v>60</v>
      </c>
      <c r="E15" s="120">
        <v>1.8</v>
      </c>
      <c r="F15" s="54">
        <v>10520</v>
      </c>
      <c r="G15" s="5">
        <v>2.85</v>
      </c>
      <c r="H15" s="5">
        <v>4.4000000000000004</v>
      </c>
      <c r="I15" s="87">
        <f>(Table5[[#This Row],[RPM]]/5400-1)</f>
        <v>0.94814814814814818</v>
      </c>
      <c r="J15" s="57">
        <v>224</v>
      </c>
      <c r="K15">
        <v>5</v>
      </c>
      <c r="L15" s="48"/>
      <c r="N15" s="48">
        <v>2000000</v>
      </c>
      <c r="O15" s="47">
        <v>1E+16</v>
      </c>
      <c r="P15" s="75"/>
      <c r="Q15" s="5">
        <v>7.4</v>
      </c>
      <c r="R15" s="5">
        <v>5.0999999999999996</v>
      </c>
      <c r="S15" s="76">
        <v>3.0000000000000001E-3</v>
      </c>
      <c r="T15" s="71">
        <v>584.89</v>
      </c>
      <c r="U15" s="10">
        <f>Table5[[#This Row],[Cost]]/Table5[[#This Row],[SizTB]]</f>
        <v>324.93888888888887</v>
      </c>
      <c r="V15" s="11">
        <f>Table5[[#This Row],[Cost]]+((CompareWarrYrs-Table5[[#This Row],[Warnty]])*(Incremental_Warr_Yr*Table5[[#This Row],[Cost]]))</f>
        <v>584.89</v>
      </c>
      <c r="W15" s="6">
        <f>Table5[[#This Row],[$+Warr]]/Table5[[#This Row],[SizTB]]</f>
        <v>324.93888888888887</v>
      </c>
      <c r="X15" s="10">
        <f>Table5[[#This Row],[$PerTB]]/CompareWarrYrs</f>
        <v>64.987777777777779</v>
      </c>
      <c r="Y15" s="7"/>
      <c r="Z15" s="59">
        <f>(((Table5[[#This Row],[Watts Active]]*Power_On_Hours_Year/1000)*Active_Duty_Cycle)+((Table5[[#This Row],[Watts Idle]]*Power_On_Hours_Year/1000)*(100%-Active_Duty_Cycle)))*CostPerKWH</f>
        <v>6.0922031999999993</v>
      </c>
      <c r="AA15" s="60">
        <f>Table5[[#This Row],[Energy$year]]/Table5[[#This Row],[SizTB]]</f>
        <v>3.384557333333333</v>
      </c>
      <c r="AB15" s="52"/>
    </row>
    <row r="16" spans="1:28" ht="17.25">
      <c r="A16" s="1">
        <v>43005</v>
      </c>
      <c r="B16" t="s">
        <v>15</v>
      </c>
      <c r="C16" s="129" t="s">
        <v>106</v>
      </c>
      <c r="D16" s="38" t="s">
        <v>60</v>
      </c>
      <c r="E16" s="120">
        <v>6</v>
      </c>
      <c r="F16" s="54">
        <v>7200</v>
      </c>
      <c r="G16" s="5">
        <v>4.16</v>
      </c>
      <c r="H16" s="5">
        <v>9</v>
      </c>
      <c r="I16" s="87">
        <f>(Table5[[#This Row],[RPM]]/5400-1)</f>
        <v>0.33333333333333326</v>
      </c>
      <c r="J16" s="57">
        <v>195</v>
      </c>
      <c r="K16">
        <v>5</v>
      </c>
      <c r="L16" s="48">
        <v>600000</v>
      </c>
      <c r="M16">
        <v>550</v>
      </c>
      <c r="N16" s="48">
        <v>2500000</v>
      </c>
      <c r="O16" s="47">
        <v>1000000000000000</v>
      </c>
      <c r="P16" s="75"/>
      <c r="Q16" s="5">
        <v>7.4</v>
      </c>
      <c r="R16" s="5">
        <v>5.0999999999999996</v>
      </c>
      <c r="S16" s="76"/>
      <c r="T16" s="71">
        <v>169.99</v>
      </c>
      <c r="U16" s="10">
        <f>Table5[[#This Row],[Cost]]/Table5[[#This Row],[SizTB]]</f>
        <v>28.331666666666667</v>
      </c>
      <c r="V16" s="11">
        <f>Table5[[#This Row],[Cost]]+((CompareWarrYrs-Table5[[#This Row],[Warnty]])*(Incremental_Warr_Yr*Table5[[#This Row],[Cost]]))</f>
        <v>169.99</v>
      </c>
      <c r="W16" s="6">
        <f>Table5[[#This Row],[$+Warr]]/Table5[[#This Row],[SizTB]]</f>
        <v>28.331666666666667</v>
      </c>
      <c r="X16" s="10">
        <f>Table5[[#This Row],[$PerTB]]/CompareWarrYrs</f>
        <v>5.6663333333333332</v>
      </c>
      <c r="Y16" s="7"/>
      <c r="Z16" s="59">
        <f>(((Table5[[#This Row],[Watts Active]]*Power_On_Hours_Year/1000)*Active_Duty_Cycle)+((Table5[[#This Row],[Watts Idle]]*Power_On_Hours_Year/1000)*(100%-Active_Duty_Cycle)))*CostPerKWH</f>
        <v>6.0922031999999993</v>
      </c>
      <c r="AA16" s="60">
        <f>Table5[[#This Row],[Energy$year]]/Table5[[#This Row],[SizTB]]</f>
        <v>1.0153671999999998</v>
      </c>
      <c r="AB16" s="52" t="s">
        <v>43</v>
      </c>
    </row>
    <row r="17" spans="1:28" ht="17.25">
      <c r="A17" s="1">
        <v>43005</v>
      </c>
      <c r="B17" t="s">
        <v>15</v>
      </c>
      <c r="C17" s="129" t="s">
        <v>105</v>
      </c>
      <c r="D17" s="38" t="s">
        <v>60</v>
      </c>
      <c r="E17" s="120">
        <v>8</v>
      </c>
      <c r="F17" s="54">
        <v>7200</v>
      </c>
      <c r="G17" s="5">
        <v>4.16</v>
      </c>
      <c r="H17" s="5">
        <v>8.5</v>
      </c>
      <c r="I17" s="87">
        <f>(Table5[[#This Row],[RPM]]/5400-1)</f>
        <v>0.33333333333333326</v>
      </c>
      <c r="J17" s="57">
        <v>237</v>
      </c>
      <c r="K17">
        <v>5</v>
      </c>
      <c r="L17" s="48">
        <v>600000</v>
      </c>
      <c r="M17">
        <v>550</v>
      </c>
      <c r="N17" s="48">
        <v>2500000</v>
      </c>
      <c r="O17" s="47">
        <v>1000000000000000</v>
      </c>
      <c r="P17" s="75"/>
      <c r="Q17" s="5">
        <v>7.4</v>
      </c>
      <c r="R17" s="5">
        <v>5.0999999999999996</v>
      </c>
      <c r="S17" s="76"/>
      <c r="T17" s="71">
        <v>275</v>
      </c>
      <c r="U17" s="10">
        <f>Table5[[#This Row],[Cost]]/Table5[[#This Row],[SizTB]]</f>
        <v>34.375</v>
      </c>
      <c r="V17" s="11">
        <f>Table5[[#This Row],[Cost]]+((CompareWarrYrs-Table5[[#This Row],[Warnty]])*(Incremental_Warr_Yr*Table5[[#This Row],[Cost]]))</f>
        <v>275</v>
      </c>
      <c r="W17" s="6">
        <f>Table5[[#This Row],[$+Warr]]/Table5[[#This Row],[SizTB]]</f>
        <v>34.375</v>
      </c>
      <c r="X17" s="10">
        <f>Table5[[#This Row],[$PerTB]]/CompareWarrYrs</f>
        <v>6.875</v>
      </c>
      <c r="Y17" s="7"/>
      <c r="Z17" s="59">
        <f>(((Table5[[#This Row],[Watts Active]]*Power_On_Hours_Year/1000)*Active_Duty_Cycle)+((Table5[[#This Row],[Watts Idle]]*Power_On_Hours_Year/1000)*(100%-Active_Duty_Cycle)))*CostPerKWH</f>
        <v>6.0922031999999993</v>
      </c>
      <c r="AA17" s="60">
        <f>Table5[[#This Row],[Energy$year]]/Table5[[#This Row],[SizTB]]</f>
        <v>0.76152539999999991</v>
      </c>
      <c r="AB17" s="52" t="s">
        <v>43</v>
      </c>
    </row>
    <row r="18" spans="1:28" ht="17.25">
      <c r="A18" s="1">
        <v>43005</v>
      </c>
      <c r="B18" t="s">
        <v>15</v>
      </c>
      <c r="C18" s="129" t="s">
        <v>104</v>
      </c>
      <c r="D18" s="38" t="s">
        <v>60</v>
      </c>
      <c r="E18" s="120">
        <v>10</v>
      </c>
      <c r="F18" s="54">
        <v>7200</v>
      </c>
      <c r="G18" s="5">
        <v>4.16</v>
      </c>
      <c r="H18" s="5">
        <v>8</v>
      </c>
      <c r="I18" s="87">
        <f>(Table5[[#This Row],[RPM]]/5400-1)</f>
        <v>0.33333333333333326</v>
      </c>
      <c r="J18" s="57">
        <v>237</v>
      </c>
      <c r="K18">
        <v>5</v>
      </c>
      <c r="L18" s="48">
        <v>600000</v>
      </c>
      <c r="M18">
        <v>550</v>
      </c>
      <c r="N18" s="48">
        <v>2500000</v>
      </c>
      <c r="O18" s="47">
        <v>1000000000000000</v>
      </c>
      <c r="P18" s="75"/>
      <c r="Q18" s="5">
        <v>6.8</v>
      </c>
      <c r="R18" s="5">
        <v>5</v>
      </c>
      <c r="S18" s="76"/>
      <c r="T18" s="71">
        <v>349.99</v>
      </c>
      <c r="U18" s="10">
        <f>Table5[[#This Row],[Cost]]/Table5[[#This Row],[SizTB]]</f>
        <v>34.999000000000002</v>
      </c>
      <c r="V18" s="11">
        <f>Table5[[#This Row],[Cost]]+((CompareWarrYrs-Table5[[#This Row],[Warnty]])*(Incremental_Warr_Yr*Table5[[#This Row],[Cost]]))</f>
        <v>349.99</v>
      </c>
      <c r="W18" s="6">
        <f>Table5[[#This Row],[$+Warr]]/Table5[[#This Row],[SizTB]]</f>
        <v>34.999000000000002</v>
      </c>
      <c r="X18" s="10">
        <f>Table5[[#This Row],[$PerTB]]/CompareWarrYrs</f>
        <v>6.9998000000000005</v>
      </c>
      <c r="Y18" s="7"/>
      <c r="Z18" s="59">
        <f>(((Table5[[#This Row],[Watts Active]]*Power_On_Hours_Year/1000)*Active_Duty_Cycle)+((Table5[[#This Row],[Watts Idle]]*Power_On_Hours_Year/1000)*(100%-Active_Duty_Cycle)))*CostPerKWH</f>
        <v>5.8730592000000001</v>
      </c>
      <c r="AA18" s="60">
        <f>Table5[[#This Row],[Energy$year]]/Table5[[#This Row],[SizTB]]</f>
        <v>0.58730592000000004</v>
      </c>
      <c r="AB18" s="52" t="s">
        <v>43</v>
      </c>
    </row>
    <row r="19" spans="1:28" ht="18" thickBot="1">
      <c r="A19" s="95">
        <v>43005</v>
      </c>
      <c r="B19" s="96" t="s">
        <v>15</v>
      </c>
      <c r="C19" s="130" t="s">
        <v>103</v>
      </c>
      <c r="D19" s="97" t="s">
        <v>60</v>
      </c>
      <c r="E19" s="121">
        <v>12</v>
      </c>
      <c r="F19" s="98">
        <v>7200</v>
      </c>
      <c r="G19" s="99">
        <v>4.16</v>
      </c>
      <c r="H19" s="99">
        <v>8.6</v>
      </c>
      <c r="I19" s="100">
        <f>(Table5[[#This Row],[RPM]]/5400-1)</f>
        <v>0.33333333333333326</v>
      </c>
      <c r="J19" s="101">
        <v>243</v>
      </c>
      <c r="K19" s="96">
        <v>5</v>
      </c>
      <c r="L19" s="102">
        <v>600000</v>
      </c>
      <c r="M19" s="96">
        <v>550</v>
      </c>
      <c r="N19" s="102">
        <v>2500000</v>
      </c>
      <c r="O19" s="103">
        <v>1000000000000000</v>
      </c>
      <c r="P19" s="104"/>
      <c r="Q19" s="99">
        <v>7.2</v>
      </c>
      <c r="R19" s="99">
        <v>5.3</v>
      </c>
      <c r="S19" s="105"/>
      <c r="T19" s="106">
        <v>619.98</v>
      </c>
      <c r="U19" s="107">
        <f>Table5[[#This Row],[Cost]]/Table5[[#This Row],[SizTB]]</f>
        <v>51.664999999999999</v>
      </c>
      <c r="V19" s="108">
        <f>Table5[[#This Row],[Cost]]+((CompareWarrYrs-Table5[[#This Row],[Warnty]])*(Incremental_Warr_Yr*Table5[[#This Row],[Cost]]))</f>
        <v>619.98</v>
      </c>
      <c r="W19" s="109">
        <f>Table5[[#This Row],[$+Warr]]/Table5[[#This Row],[SizTB]]</f>
        <v>51.664999999999999</v>
      </c>
      <c r="X19" s="107">
        <f>Table5[[#This Row],[$PerTB]]/CompareWarrYrs</f>
        <v>10.333</v>
      </c>
      <c r="Y19" s="110"/>
      <c r="Z19" s="111">
        <f>(((Table5[[#This Row],[Watts Active]]*Power_On_Hours_Year/1000)*Active_Duty_Cycle)+((Table5[[#This Row],[Watts Idle]]*Power_On_Hours_Year/1000)*(100%-Active_Duty_Cycle)))*CostPerKWH</f>
        <v>6.2236896000000002</v>
      </c>
      <c r="AA19" s="112">
        <f>Table5[[#This Row],[Energy$year]]/Table5[[#This Row],[SizTB]]</f>
        <v>0.51864080000000001</v>
      </c>
      <c r="AB19" s="113" t="s">
        <v>43</v>
      </c>
    </row>
    <row r="20" spans="1:28" ht="15.75" thickTop="1">
      <c r="A20" s="1">
        <v>42961</v>
      </c>
      <c r="B20" t="s">
        <v>10</v>
      </c>
      <c r="C20" s="129" t="s">
        <v>20</v>
      </c>
      <c r="D20" s="38"/>
      <c r="E20" s="120">
        <v>5</v>
      </c>
      <c r="F20" s="54">
        <v>5900</v>
      </c>
      <c r="G20" s="5"/>
      <c r="H20" s="5"/>
      <c r="I20" s="87">
        <f>(Table5[[#This Row],[RPM]]/5400-1)</f>
        <v>9.259259259259256E-2</v>
      </c>
      <c r="J20" s="57">
        <v>146</v>
      </c>
      <c r="K20">
        <v>3</v>
      </c>
      <c r="L20" s="48">
        <v>300000</v>
      </c>
      <c r="M20">
        <v>180</v>
      </c>
      <c r="N20" s="48">
        <v>800000</v>
      </c>
      <c r="O20" s="47">
        <f t="shared" ref="O20:O31" si="2">10^14</f>
        <v>100000000000000</v>
      </c>
      <c r="P20" s="75">
        <v>24</v>
      </c>
      <c r="Q20" s="5">
        <v>5.5</v>
      </c>
      <c r="R20" s="5">
        <v>3.5</v>
      </c>
      <c r="S20" s="76">
        <v>0.74</v>
      </c>
      <c r="T20" s="71">
        <v>192.01</v>
      </c>
      <c r="U20" s="10">
        <f>Table5[[#This Row],[Cost]]/Table5[[#This Row],[SizTB]]</f>
        <v>38.402000000000001</v>
      </c>
      <c r="V20" s="11">
        <f>Table5[[#This Row],[Cost]]+((CompareWarrYrs-Table5[[#This Row],[Warnty]])*(Incremental_Warr_Yr*Table5[[#This Row],[Cost]]))</f>
        <v>234.25219999999999</v>
      </c>
      <c r="W20" s="6">
        <f>Table5[[#This Row],[$+Warr]]/Table5[[#This Row],[SizTB]]</f>
        <v>46.850439999999999</v>
      </c>
      <c r="X20" s="10">
        <f>Table5[[#This Row],[$PerTB]]/CompareWarrYrs</f>
        <v>9.3700879999999991</v>
      </c>
      <c r="Y20" s="7"/>
      <c r="Z20" s="59">
        <f>(((Table5[[#This Row],[Watts Active]]*Power_On_Hours_Year/1000)*Active_Duty_Cycle)+((Table5[[#This Row],[Watts Idle]]*Power_On_Hours_Year/1000)*(100%-Active_Duty_Cycle)))*CostPerKWH</f>
        <v>4.2733080000000001</v>
      </c>
      <c r="AA20" s="60">
        <f>Table5[[#This Row],[Energy$year]]/Table5[[#This Row],[SizTB]]</f>
        <v>0.85466160000000002</v>
      </c>
      <c r="AB20" s="52" t="s">
        <v>79</v>
      </c>
    </row>
    <row r="21" spans="1:28">
      <c r="A21" s="1">
        <v>42961</v>
      </c>
      <c r="B21" t="s">
        <v>10</v>
      </c>
      <c r="C21" s="129" t="s">
        <v>20</v>
      </c>
      <c r="D21" s="38"/>
      <c r="E21" s="120">
        <v>6</v>
      </c>
      <c r="F21" s="54">
        <v>5900</v>
      </c>
      <c r="G21" s="5"/>
      <c r="H21" s="5"/>
      <c r="I21" s="87">
        <f>(Table5[[#This Row],[RPM]]/5400-1)</f>
        <v>9.259259259259256E-2</v>
      </c>
      <c r="J21" s="57">
        <v>150</v>
      </c>
      <c r="K21">
        <v>3</v>
      </c>
      <c r="L21" s="48">
        <v>300000</v>
      </c>
      <c r="M21">
        <v>180</v>
      </c>
      <c r="N21" s="48">
        <v>800000</v>
      </c>
      <c r="O21" s="47">
        <f t="shared" si="2"/>
        <v>100000000000000</v>
      </c>
      <c r="P21" s="75">
        <v>24</v>
      </c>
      <c r="Q21" s="5">
        <v>7.5</v>
      </c>
      <c r="R21" s="5">
        <v>5</v>
      </c>
      <c r="S21" s="76">
        <v>0.99</v>
      </c>
      <c r="T21" s="71">
        <v>203.47</v>
      </c>
      <c r="U21" s="10">
        <f>Table5[[#This Row],[Cost]]/Table5[[#This Row],[SizTB]]</f>
        <v>33.911666666666669</v>
      </c>
      <c r="V21" s="11">
        <f>Table5[[#This Row],[Cost]]+((CompareWarrYrs-Table5[[#This Row],[Warnty]])*(Incremental_Warr_Yr*Table5[[#This Row],[Cost]]))</f>
        <v>248.23339999999999</v>
      </c>
      <c r="W21" s="6">
        <f>Table5[[#This Row],[$+Warr]]/Table5[[#This Row],[SizTB]]</f>
        <v>41.372233333333334</v>
      </c>
      <c r="X21" s="10">
        <f>Table5[[#This Row],[$PerTB]]/CompareWarrYrs</f>
        <v>8.2744466666666661</v>
      </c>
      <c r="Y21" s="7"/>
      <c r="Z21" s="59">
        <f>(((Table5[[#This Row],[Watts Active]]*Power_On_Hours_Year/1000)*Active_Duty_Cycle)+((Table5[[#This Row],[Watts Idle]]*Power_On_Hours_Year/1000)*(100%-Active_Duty_Cycle)))*CostPerKWH</f>
        <v>6.0264600000000002</v>
      </c>
      <c r="AA21" s="62">
        <f>Table5[[#This Row],[Energy$year]]/Table5[[#This Row],[SizTB]]</f>
        <v>1.00441</v>
      </c>
      <c r="AB21" s="52" t="s">
        <v>79</v>
      </c>
    </row>
    <row r="22" spans="1:28">
      <c r="A22" s="1">
        <v>42961</v>
      </c>
      <c r="B22" t="s">
        <v>10</v>
      </c>
      <c r="C22" s="129" t="s">
        <v>20</v>
      </c>
      <c r="D22" s="38"/>
      <c r="E22" s="120">
        <v>8</v>
      </c>
      <c r="F22" s="54">
        <v>5900</v>
      </c>
      <c r="G22" s="5"/>
      <c r="H22" s="5"/>
      <c r="I22" s="87">
        <f>(Table5[[#This Row],[RPM]]/5400-1)</f>
        <v>9.259259259259256E-2</v>
      </c>
      <c r="J22" s="57">
        <v>150</v>
      </c>
      <c r="K22">
        <v>3</v>
      </c>
      <c r="L22" s="48">
        <v>300000</v>
      </c>
      <c r="M22">
        <v>180</v>
      </c>
      <c r="N22" s="48">
        <v>800000</v>
      </c>
      <c r="O22" s="47">
        <f t="shared" si="2"/>
        <v>100000000000000</v>
      </c>
      <c r="P22" s="75">
        <v>24</v>
      </c>
      <c r="Q22" s="5">
        <v>7.5</v>
      </c>
      <c r="R22" s="5">
        <v>5</v>
      </c>
      <c r="S22" s="76">
        <v>0.99</v>
      </c>
      <c r="T22" s="71">
        <f>229.88*0.9</f>
        <v>206.892</v>
      </c>
      <c r="U22" s="10">
        <f>Table5[[#This Row],[Cost]]/Table5[[#This Row],[SizTB]]</f>
        <v>25.861499999999999</v>
      </c>
      <c r="V22" s="11">
        <f>Table5[[#This Row],[Cost]]+((CompareWarrYrs-Table5[[#This Row],[Warnty]])*(Incremental_Warr_Yr*Table5[[#This Row],[Cost]]))</f>
        <v>252.40823999999998</v>
      </c>
      <c r="W22" s="6">
        <f>Table5[[#This Row],[$+Warr]]/Table5[[#This Row],[SizTB]]</f>
        <v>31.551029999999997</v>
      </c>
      <c r="X22" s="10">
        <f>Table5[[#This Row],[$PerTB]]/CompareWarrYrs</f>
        <v>6.3102059999999991</v>
      </c>
      <c r="Y22" s="7"/>
      <c r="Z22" s="59">
        <f>(((Table5[[#This Row],[Watts Active]]*Power_On_Hours_Year/1000)*Active_Duty_Cycle)+((Table5[[#This Row],[Watts Idle]]*Power_On_Hours_Year/1000)*(100%-Active_Duty_Cycle)))*CostPerKWH</f>
        <v>6.0264600000000002</v>
      </c>
      <c r="AA22" s="60">
        <f>Table5[[#This Row],[Energy$year]]/Table5[[#This Row],[SizTB]]</f>
        <v>0.75330750000000002</v>
      </c>
      <c r="AB22" s="52" t="s">
        <v>79</v>
      </c>
    </row>
    <row r="23" spans="1:28">
      <c r="A23" s="1">
        <v>43007</v>
      </c>
      <c r="B23" t="s">
        <v>10</v>
      </c>
      <c r="C23" s="129" t="s">
        <v>11</v>
      </c>
      <c r="D23" s="38"/>
      <c r="E23" s="120">
        <v>1</v>
      </c>
      <c r="F23" s="54">
        <v>5400</v>
      </c>
      <c r="G23" s="5">
        <v>4.16</v>
      </c>
      <c r="H23" s="5">
        <v>9.5</v>
      </c>
      <c r="I23" s="87">
        <f>(Table5[[#This Row],[RPM]]/5400-1)</f>
        <v>0</v>
      </c>
      <c r="J23" s="57">
        <v>210</v>
      </c>
      <c r="K23">
        <v>2</v>
      </c>
      <c r="L23" s="48">
        <v>300000</v>
      </c>
      <c r="M23">
        <v>55</v>
      </c>
      <c r="N23" s="48"/>
      <c r="O23" s="47">
        <f t="shared" si="2"/>
        <v>100000000000000</v>
      </c>
      <c r="P23" s="75">
        <v>24</v>
      </c>
      <c r="Q23" s="5">
        <v>5.3</v>
      </c>
      <c r="R23" s="5">
        <v>4.5999999999999996</v>
      </c>
      <c r="S23" s="76">
        <v>0.94</v>
      </c>
      <c r="T23" s="71">
        <v>46.99</v>
      </c>
      <c r="U23" s="10">
        <f>Table5[[#This Row],[Cost]]/Table5[[#This Row],[SizTB]]</f>
        <v>46.99</v>
      </c>
      <c r="V23" s="11">
        <f>Table5[[#This Row],[Cost]]+((CompareWarrYrs-Table5[[#This Row],[Warnty]])*(Incremental_Warr_Yr*Table5[[#This Row],[Cost]]))</f>
        <v>62.496700000000004</v>
      </c>
      <c r="W23" s="6">
        <f>Table5[[#This Row],[$+Warr]]/Table5[[#This Row],[SizTB]]</f>
        <v>62.496700000000004</v>
      </c>
      <c r="X23" s="10">
        <f>Table5[[#This Row],[$PerTB]]/CompareWarrYrs</f>
        <v>12.49934</v>
      </c>
      <c r="Y23" s="7"/>
      <c r="Z23" s="59">
        <f>(((Table5[[#This Row],[Watts Active]]*Power_On_Hours_Year/1000)*Active_Duty_Cycle)+((Table5[[#This Row],[Watts Idle]]*Power_On_Hours_Year/1000)*(100%-Active_Duty_Cycle)))*CostPerKWH</f>
        <v>5.1937128000000001</v>
      </c>
      <c r="AA23" s="60">
        <f>Table5[[#This Row],[Energy$year]]/Table5[[#This Row],[SizTB]]</f>
        <v>5.1937128000000001</v>
      </c>
      <c r="AB23" s="52"/>
    </row>
    <row r="24" spans="1:28">
      <c r="A24" s="1">
        <v>43005</v>
      </c>
      <c r="B24" t="s">
        <v>10</v>
      </c>
      <c r="C24" s="129" t="s">
        <v>11</v>
      </c>
      <c r="D24" s="38"/>
      <c r="E24" s="120">
        <v>2</v>
      </c>
      <c r="F24" s="54">
        <v>5400</v>
      </c>
      <c r="G24" s="5">
        <v>6</v>
      </c>
      <c r="H24" s="5">
        <v>15</v>
      </c>
      <c r="I24" s="87">
        <f>(Table5[[#This Row],[RPM]]/5400-1)</f>
        <v>0</v>
      </c>
      <c r="J24" s="57">
        <v>210</v>
      </c>
      <c r="K24">
        <v>2</v>
      </c>
      <c r="L24" s="48">
        <v>600000</v>
      </c>
      <c r="M24">
        <v>55</v>
      </c>
      <c r="N24" s="48"/>
      <c r="O24" s="47">
        <f t="shared" si="2"/>
        <v>100000000000000</v>
      </c>
      <c r="P24" s="75">
        <f>2.5*12</f>
        <v>30</v>
      </c>
      <c r="Q24" s="5">
        <v>8</v>
      </c>
      <c r="R24" s="5">
        <v>5.4</v>
      </c>
      <c r="S24" s="76">
        <v>0.75</v>
      </c>
      <c r="T24" s="71">
        <v>66.989999999999995</v>
      </c>
      <c r="U24" s="10">
        <f>Table5[[#This Row],[Cost]]/Table5[[#This Row],[SizTB]]</f>
        <v>33.494999999999997</v>
      </c>
      <c r="V24" s="11">
        <f>Table5[[#This Row],[Cost]]+((CompareWarrYrs-Table5[[#This Row],[Warnty]])*(Incremental_Warr_Yr*Table5[[#This Row],[Cost]]))</f>
        <v>89.096699999999998</v>
      </c>
      <c r="W24" s="6">
        <f>Table5[[#This Row],[$+Warr]]/Table5[[#This Row],[SizTB]]</f>
        <v>44.548349999999999</v>
      </c>
      <c r="X24" s="10">
        <f>Table5[[#This Row],[$PerTB]]/CompareWarrYrs</f>
        <v>8.9096700000000002</v>
      </c>
      <c r="Y24" s="7"/>
      <c r="Z24" s="59">
        <f>(((Table5[[#This Row],[Watts Active]]*Power_On_Hours_Year/1000)*Active_Duty_Cycle)+((Table5[[#This Row],[Watts Idle]]*Power_On_Hours_Year/1000)*(100%-Active_Duty_Cycle)))*CostPerKWH</f>
        <v>6.486662400000001</v>
      </c>
      <c r="AA24" s="60">
        <f>Table5[[#This Row],[Energy$year]]/Table5[[#This Row],[SizTB]]</f>
        <v>3.2433312000000005</v>
      </c>
      <c r="AB24" s="52"/>
    </row>
    <row r="25" spans="1:28">
      <c r="A25" s="1">
        <v>43014</v>
      </c>
      <c r="B25" t="s">
        <v>10</v>
      </c>
      <c r="C25" s="129" t="s">
        <v>11</v>
      </c>
      <c r="D25" s="38"/>
      <c r="E25" s="120">
        <v>3</v>
      </c>
      <c r="F25" s="54">
        <v>5400</v>
      </c>
      <c r="G25" s="5">
        <v>6</v>
      </c>
      <c r="H25" s="5">
        <v>15</v>
      </c>
      <c r="I25" s="87">
        <f>(Table5[[#This Row],[RPM]]/5400-1)</f>
        <v>0</v>
      </c>
      <c r="J25" s="57">
        <v>210</v>
      </c>
      <c r="K25">
        <v>2</v>
      </c>
      <c r="L25" s="48">
        <v>600000</v>
      </c>
      <c r="M25">
        <v>55</v>
      </c>
      <c r="N25" s="48"/>
      <c r="O25" s="47">
        <f t="shared" si="2"/>
        <v>100000000000000</v>
      </c>
      <c r="P25" s="75">
        <f>2.5*12</f>
        <v>30</v>
      </c>
      <c r="Q25" s="5">
        <v>8</v>
      </c>
      <c r="R25" s="5">
        <v>5.4</v>
      </c>
      <c r="S25" s="76">
        <v>0.75</v>
      </c>
      <c r="T25" s="71">
        <v>69.989999999999995</v>
      </c>
      <c r="U25" s="10">
        <f>Table5[[#This Row],[Cost]]/Table5[[#This Row],[SizTB]]</f>
        <v>23.33</v>
      </c>
      <c r="V25" s="11">
        <f>Table5[[#This Row],[Cost]]+((CompareWarrYrs-Table5[[#This Row],[Warnty]])*(Incremental_Warr_Yr*Table5[[#This Row],[Cost]]))</f>
        <v>93.086699999999993</v>
      </c>
      <c r="W25" s="6">
        <f>Table5[[#This Row],[$+Warr]]/Table5[[#This Row],[SizTB]]</f>
        <v>31.028899999999997</v>
      </c>
      <c r="X25" s="10">
        <f>Table5[[#This Row],[$PerTB]]/CompareWarrYrs</f>
        <v>6.205779999999999</v>
      </c>
      <c r="Y25" s="7"/>
      <c r="Z25" s="59">
        <f>(((Table5[[#This Row],[Watts Active]]*Power_On_Hours_Year/1000)*Active_Duty_Cycle)+((Table5[[#This Row],[Watts Idle]]*Power_On_Hours_Year/1000)*(100%-Active_Duty_Cycle)))*CostPerKWH</f>
        <v>6.486662400000001</v>
      </c>
      <c r="AA25" s="60">
        <f>Table5[[#This Row],[Energy$year]]/Table5[[#This Row],[SizTB]]</f>
        <v>2.1622208000000005</v>
      </c>
      <c r="AB25" s="52"/>
    </row>
    <row r="26" spans="1:28">
      <c r="A26" s="1">
        <v>43004</v>
      </c>
      <c r="B26" t="s">
        <v>10</v>
      </c>
      <c r="C26" s="129" t="s">
        <v>11</v>
      </c>
      <c r="D26" s="38"/>
      <c r="E26" s="120">
        <v>4</v>
      </c>
      <c r="F26" s="54">
        <v>5400</v>
      </c>
      <c r="G26" s="5">
        <v>6</v>
      </c>
      <c r="H26" s="5">
        <v>15</v>
      </c>
      <c r="I26" s="87">
        <f>(Table5[[#This Row],[RPM]]/5400-1)</f>
        <v>0</v>
      </c>
      <c r="J26" s="57">
        <v>190</v>
      </c>
      <c r="K26">
        <v>2</v>
      </c>
      <c r="L26" s="48">
        <v>600000</v>
      </c>
      <c r="M26">
        <v>55</v>
      </c>
      <c r="N26" s="48"/>
      <c r="O26" s="47">
        <f t="shared" si="2"/>
        <v>100000000000000</v>
      </c>
      <c r="P26" s="75">
        <v>24</v>
      </c>
      <c r="Q26" s="5">
        <v>5</v>
      </c>
      <c r="R26" s="5">
        <v>2.5</v>
      </c>
      <c r="S26" s="76">
        <v>0.25</v>
      </c>
      <c r="T26" s="71">
        <v>99.99</v>
      </c>
      <c r="U26" s="10">
        <f>Table5[[#This Row],[Cost]]/Table5[[#This Row],[SizTB]]</f>
        <v>24.997499999999999</v>
      </c>
      <c r="V26" s="11">
        <f>Table5[[#This Row],[Cost]]+((CompareWarrYrs-Table5[[#This Row],[Warnty]])*(Incremental_Warr_Yr*Table5[[#This Row],[Cost]]))</f>
        <v>132.98669999999998</v>
      </c>
      <c r="W26" s="6">
        <f>Table5[[#This Row],[$+Warr]]/Table5[[#This Row],[SizTB]]</f>
        <v>33.246674999999996</v>
      </c>
      <c r="X26" s="10">
        <f>Table5[[#This Row],[$PerTB]]/CompareWarrYrs</f>
        <v>6.6493349999999989</v>
      </c>
      <c r="Y26" s="7"/>
      <c r="Z26" s="59">
        <f>(((Table5[[#This Row],[Watts Active]]*Power_On_Hours_Year/1000)*Active_Duty_Cycle)+((Table5[[#This Row],[Watts Idle]]*Power_On_Hours_Year/1000)*(100%-Active_Duty_Cycle)))*CostPerKWH</f>
        <v>3.2871600000000001</v>
      </c>
      <c r="AA26" s="60">
        <f>Table5[[#This Row],[Energy$year]]/Table5[[#This Row],[SizTB]]</f>
        <v>0.82179000000000002</v>
      </c>
      <c r="AB26" s="52"/>
    </row>
    <row r="27" spans="1:28">
      <c r="A27" s="1">
        <v>42947</v>
      </c>
      <c r="B27" t="s">
        <v>10</v>
      </c>
      <c r="C27" s="129" t="s">
        <v>57</v>
      </c>
      <c r="D27" s="38"/>
      <c r="E27" s="120">
        <v>1</v>
      </c>
      <c r="F27" s="54">
        <v>5400</v>
      </c>
      <c r="G27" s="5"/>
      <c r="H27" s="5"/>
      <c r="I27" s="87">
        <f>(Table5[[#This Row],[RPM]]/5400-1)</f>
        <v>0</v>
      </c>
      <c r="J27" s="57">
        <v>140</v>
      </c>
      <c r="K27">
        <v>2</v>
      </c>
      <c r="L27" s="48">
        <v>600000</v>
      </c>
      <c r="N27" s="48"/>
      <c r="O27" s="47">
        <f t="shared" si="2"/>
        <v>100000000000000</v>
      </c>
      <c r="P27" s="75">
        <f>1*5</f>
        <v>5</v>
      </c>
      <c r="Q27" s="5">
        <v>1.7</v>
      </c>
      <c r="R27" s="5">
        <v>0.45</v>
      </c>
      <c r="S27" s="76"/>
      <c r="T27" s="71">
        <v>49.99</v>
      </c>
      <c r="U27" s="10">
        <f>Table5[[#This Row],[Cost]]/Table5[[#This Row],[SizTB]]</f>
        <v>49.99</v>
      </c>
      <c r="V27" s="11">
        <f>Table5[[#This Row],[Cost]]+((CompareWarrYrs-Table5[[#This Row],[Warnty]])*(Incremental_Warr_Yr*Table5[[#This Row],[Cost]]))</f>
        <v>66.486699999999999</v>
      </c>
      <c r="W27" s="6">
        <f>Table5[[#This Row],[$+Warr]]/Table5[[#This Row],[SizTB]]</f>
        <v>66.486699999999999</v>
      </c>
      <c r="X27" s="10">
        <f>Table5[[#This Row],[$PerTB]]/CompareWarrYrs</f>
        <v>13.29734</v>
      </c>
      <c r="Y27" s="7"/>
      <c r="Z27" s="59">
        <f>(((Table5[[#This Row],[Watts Active]]*Power_On_Hours_Year/1000)*Active_Duty_Cycle)+((Table5[[#This Row],[Watts Idle]]*Power_On_Hours_Year/1000)*(100%-Active_Duty_Cycle)))*CostPerKWH</f>
        <v>0.76700400000000002</v>
      </c>
      <c r="AA27" s="60">
        <f>Table5[[#This Row],[Energy$year]]/Table5[[#This Row],[SizTB]]</f>
        <v>0.76700400000000002</v>
      </c>
      <c r="AB27" s="52"/>
    </row>
    <row r="28" spans="1:28">
      <c r="A28" s="1">
        <v>42947</v>
      </c>
      <c r="B28" t="s">
        <v>10</v>
      </c>
      <c r="C28" s="129" t="s">
        <v>57</v>
      </c>
      <c r="D28" s="38"/>
      <c r="E28" s="120">
        <v>2</v>
      </c>
      <c r="F28" s="54">
        <v>5400</v>
      </c>
      <c r="G28" s="5"/>
      <c r="H28" s="5"/>
      <c r="I28" s="87">
        <f>(Table5[[#This Row],[RPM]]/5400-1)</f>
        <v>0</v>
      </c>
      <c r="J28" s="57">
        <v>140</v>
      </c>
      <c r="K28">
        <v>2</v>
      </c>
      <c r="L28" s="48">
        <v>600000</v>
      </c>
      <c r="N28" s="48"/>
      <c r="O28" s="47">
        <f t="shared" si="2"/>
        <v>100000000000000</v>
      </c>
      <c r="P28" s="75">
        <f>1*5</f>
        <v>5</v>
      </c>
      <c r="Q28" s="5">
        <v>1.8</v>
      </c>
      <c r="R28" s="5">
        <v>0.5</v>
      </c>
      <c r="S28" s="76"/>
      <c r="T28" s="71">
        <v>84.99</v>
      </c>
      <c r="U28" s="10">
        <f>Table5[[#This Row],[Cost]]/Table5[[#This Row],[SizTB]]</f>
        <v>42.494999999999997</v>
      </c>
      <c r="V28" s="11">
        <f>Table5[[#This Row],[Cost]]+((CompareWarrYrs-Table5[[#This Row],[Warnty]])*(Incremental_Warr_Yr*Table5[[#This Row],[Cost]]))</f>
        <v>113.0367</v>
      </c>
      <c r="W28" s="6">
        <f>Table5[[#This Row],[$+Warr]]/Table5[[#This Row],[SizTB]]</f>
        <v>56.518349999999998</v>
      </c>
      <c r="X28" s="10">
        <f>Table5[[#This Row],[$PerTB]]/CompareWarrYrs</f>
        <v>11.30367</v>
      </c>
      <c r="Y28" s="7"/>
      <c r="Z28" s="59">
        <f>(((Table5[[#This Row],[Watts Active]]*Power_On_Hours_Year/1000)*Active_Duty_Cycle)+((Table5[[#This Row],[Watts Idle]]*Power_On_Hours_Year/1000)*(100%-Active_Duty_Cycle)))*CostPerKWH</f>
        <v>0.83274720000000002</v>
      </c>
      <c r="AA28" s="60">
        <f>Table5[[#This Row],[Energy$year]]/Table5[[#This Row],[SizTB]]</f>
        <v>0.41637360000000001</v>
      </c>
      <c r="AB28" s="52"/>
    </row>
    <row r="29" spans="1:28">
      <c r="A29" s="1">
        <v>42947</v>
      </c>
      <c r="B29" t="s">
        <v>10</v>
      </c>
      <c r="C29" s="129" t="s">
        <v>57</v>
      </c>
      <c r="D29" s="38"/>
      <c r="E29" s="120">
        <v>3</v>
      </c>
      <c r="F29" s="54">
        <v>5400</v>
      </c>
      <c r="G29" s="5"/>
      <c r="H29" s="5"/>
      <c r="I29" s="87">
        <f>(Table5[[#This Row],[RPM]]/5400-1)</f>
        <v>0</v>
      </c>
      <c r="J29" s="57">
        <v>140</v>
      </c>
      <c r="K29">
        <v>2</v>
      </c>
      <c r="L29" s="48">
        <v>600000</v>
      </c>
      <c r="N29" s="48"/>
      <c r="O29" s="47">
        <f t="shared" si="2"/>
        <v>100000000000000</v>
      </c>
      <c r="P29" s="75">
        <f>1.2*5</f>
        <v>6</v>
      </c>
      <c r="Q29" s="5">
        <v>2.1</v>
      </c>
      <c r="R29" s="5">
        <v>1.1000000000000001</v>
      </c>
      <c r="S29" s="76"/>
      <c r="T29" s="71">
        <v>129.99</v>
      </c>
      <c r="U29" s="10">
        <f>Table5[[#This Row],[Cost]]/Table5[[#This Row],[SizTB]]</f>
        <v>43.330000000000005</v>
      </c>
      <c r="V29" s="11">
        <f>Table5[[#This Row],[Cost]]+((CompareWarrYrs-Table5[[#This Row],[Warnty]])*(Incremental_Warr_Yr*Table5[[#This Row],[Cost]]))</f>
        <v>172.88670000000002</v>
      </c>
      <c r="W29" s="6">
        <f>Table5[[#This Row],[$+Warr]]/Table5[[#This Row],[SizTB]]</f>
        <v>57.628900000000009</v>
      </c>
      <c r="X29" s="10">
        <f>Table5[[#This Row],[$PerTB]]/CompareWarrYrs</f>
        <v>11.525780000000001</v>
      </c>
      <c r="Y29" s="7"/>
      <c r="Z29" s="59">
        <f>(((Table5[[#This Row],[Watts Active]]*Power_On_Hours_Year/1000)*Active_Duty_Cycle)+((Table5[[#This Row],[Watts Idle]]*Power_On_Hours_Year/1000)*(100%-Active_Duty_Cycle)))*CostPerKWH</f>
        <v>1.4244360000000003</v>
      </c>
      <c r="AA29" s="60">
        <f>Table5[[#This Row],[Energy$year]]/Table5[[#This Row],[SizTB]]</f>
        <v>0.47481200000000007</v>
      </c>
      <c r="AB29" s="52"/>
    </row>
    <row r="30" spans="1:28">
      <c r="A30" s="1">
        <v>42947</v>
      </c>
      <c r="B30" t="s">
        <v>10</v>
      </c>
      <c r="C30" s="129" t="s">
        <v>57</v>
      </c>
      <c r="D30" s="38"/>
      <c r="E30" s="120">
        <v>4</v>
      </c>
      <c r="F30" s="54">
        <v>5400</v>
      </c>
      <c r="G30" s="5"/>
      <c r="H30" s="5"/>
      <c r="I30" s="87">
        <f>(Table5[[#This Row],[RPM]]/5400-1)</f>
        <v>0</v>
      </c>
      <c r="J30" s="57">
        <v>140</v>
      </c>
      <c r="K30">
        <v>2</v>
      </c>
      <c r="L30" s="48">
        <v>600000</v>
      </c>
      <c r="N30" s="48"/>
      <c r="O30" s="47">
        <f t="shared" si="2"/>
        <v>100000000000000</v>
      </c>
      <c r="P30" s="75">
        <f>1.2*5</f>
        <v>6</v>
      </c>
      <c r="Q30" s="5">
        <v>2.1</v>
      </c>
      <c r="R30" s="5">
        <v>1.1000000000000001</v>
      </c>
      <c r="S30" s="76"/>
      <c r="T30" s="71">
        <v>174.99</v>
      </c>
      <c r="U30" s="10">
        <f>Table5[[#This Row],[Cost]]/Table5[[#This Row],[SizTB]]</f>
        <v>43.747500000000002</v>
      </c>
      <c r="V30" s="11">
        <f>Table5[[#This Row],[Cost]]+((CompareWarrYrs-Table5[[#This Row],[Warnty]])*(Incremental_Warr_Yr*Table5[[#This Row],[Cost]]))</f>
        <v>232.73670000000001</v>
      </c>
      <c r="W30" s="6">
        <f>Table5[[#This Row],[$+Warr]]/Table5[[#This Row],[SizTB]]</f>
        <v>58.184175000000003</v>
      </c>
      <c r="X30" s="10">
        <f>Table5[[#This Row],[$PerTB]]/CompareWarrYrs</f>
        <v>11.636835000000001</v>
      </c>
      <c r="Y30" s="7"/>
      <c r="Z30" s="59">
        <f>(((Table5[[#This Row],[Watts Active]]*Power_On_Hours_Year/1000)*Active_Duty_Cycle)+((Table5[[#This Row],[Watts Idle]]*Power_On_Hours_Year/1000)*(100%-Active_Duty_Cycle)))*CostPerKWH</f>
        <v>1.4244360000000003</v>
      </c>
      <c r="AA30" s="60">
        <f>Table5[[#This Row],[Energy$year]]/Table5[[#This Row],[SizTB]]</f>
        <v>0.35610900000000006</v>
      </c>
      <c r="AB30" s="52"/>
    </row>
    <row r="31" spans="1:28">
      <c r="A31" s="1">
        <v>42947</v>
      </c>
      <c r="B31" t="s">
        <v>10</v>
      </c>
      <c r="C31" s="129" t="s">
        <v>57</v>
      </c>
      <c r="D31" s="38"/>
      <c r="E31" s="120">
        <v>5</v>
      </c>
      <c r="F31" s="54">
        <v>5400</v>
      </c>
      <c r="G31" s="5"/>
      <c r="H31" s="5"/>
      <c r="I31" s="87">
        <f>(Table5[[#This Row],[RPM]]/5400-1)</f>
        <v>0</v>
      </c>
      <c r="J31" s="57">
        <v>140</v>
      </c>
      <c r="K31">
        <v>2</v>
      </c>
      <c r="L31" s="48">
        <v>600000</v>
      </c>
      <c r="N31" s="48"/>
      <c r="O31" s="47">
        <f t="shared" si="2"/>
        <v>100000000000000</v>
      </c>
      <c r="P31" s="75">
        <f>1.2*5</f>
        <v>6</v>
      </c>
      <c r="Q31" s="5">
        <v>2.1</v>
      </c>
      <c r="R31" s="5">
        <v>1.1000000000000001</v>
      </c>
      <c r="S31" s="76"/>
      <c r="T31" s="71">
        <v>209.99</v>
      </c>
      <c r="U31" s="10">
        <f>Table5[[#This Row],[Cost]]/Table5[[#This Row],[SizTB]]</f>
        <v>41.998000000000005</v>
      </c>
      <c r="V31" s="11">
        <f>Table5[[#This Row],[Cost]]+((CompareWarrYrs-Table5[[#This Row],[Warnty]])*(Incremental_Warr_Yr*Table5[[#This Row],[Cost]]))</f>
        <v>279.2867</v>
      </c>
      <c r="W31" s="6">
        <f>Table5[[#This Row],[$+Warr]]/Table5[[#This Row],[SizTB]]</f>
        <v>55.857340000000001</v>
      </c>
      <c r="X31" s="10">
        <f>Table5[[#This Row],[$PerTB]]/CompareWarrYrs</f>
        <v>11.171468000000001</v>
      </c>
      <c r="Y31" s="7"/>
      <c r="Z31" s="59">
        <f>(((Table5[[#This Row],[Watts Active]]*Power_On_Hours_Year/1000)*Active_Duty_Cycle)+((Table5[[#This Row],[Watts Idle]]*Power_On_Hours_Year/1000)*(100%-Active_Duty_Cycle)))*CostPerKWH</f>
        <v>1.4244360000000003</v>
      </c>
      <c r="AA31" s="60">
        <f>Table5[[#This Row],[Energy$year]]/Table5[[#This Row],[SizTB]]</f>
        <v>0.28488720000000006</v>
      </c>
      <c r="AB31" s="52"/>
    </row>
    <row r="32" spans="1:28">
      <c r="A32" s="1">
        <v>43001</v>
      </c>
      <c r="B32" t="s">
        <v>10</v>
      </c>
      <c r="C32" s="129" t="s">
        <v>18</v>
      </c>
      <c r="D32" s="38"/>
      <c r="E32" s="120">
        <v>2</v>
      </c>
      <c r="F32" s="54">
        <v>7200</v>
      </c>
      <c r="G32" s="5">
        <v>4.16</v>
      </c>
      <c r="H32" s="5"/>
      <c r="I32" s="87">
        <f>(Table5[[#This Row],[RPM]]/5400-1)</f>
        <v>0.33333333333333326</v>
      </c>
      <c r="J32" s="57">
        <v>195</v>
      </c>
      <c r="K32">
        <v>5</v>
      </c>
      <c r="L32" s="48">
        <v>600000</v>
      </c>
      <c r="M32">
        <v>180</v>
      </c>
      <c r="N32" s="48"/>
      <c r="O32" s="47">
        <v>1000000000000000</v>
      </c>
      <c r="P32" s="75">
        <v>24</v>
      </c>
      <c r="Q32" s="5">
        <v>7.5</v>
      </c>
      <c r="R32" s="5">
        <v>4.5</v>
      </c>
      <c r="S32" s="76">
        <v>0.8</v>
      </c>
      <c r="T32" s="71">
        <v>127.99</v>
      </c>
      <c r="U32" s="10">
        <f>Table5[[#This Row],[Cost]]/Table5[[#This Row],[SizTB]]</f>
        <v>63.994999999999997</v>
      </c>
      <c r="V32" s="11">
        <f>Table5[[#This Row],[Cost]]+((CompareWarrYrs-Table5[[#This Row],[Warnty]])*(Incremental_Warr_Yr*Table5[[#This Row],[Cost]]))</f>
        <v>127.99</v>
      </c>
      <c r="W32" s="6">
        <f>Table5[[#This Row],[$+Warr]]/Table5[[#This Row],[SizTB]]</f>
        <v>63.994999999999997</v>
      </c>
      <c r="X32" s="10">
        <f>Table5[[#This Row],[$PerTB]]/CompareWarrYrs</f>
        <v>12.798999999999999</v>
      </c>
      <c r="Y32" s="7"/>
      <c r="Z32" s="59">
        <f>(((Table5[[#This Row],[Watts Active]]*Power_On_Hours_Year/1000)*Active_Duty_Cycle)+((Table5[[#This Row],[Watts Idle]]*Power_On_Hours_Year/1000)*(100%-Active_Duty_Cycle)))*CostPerKWH</f>
        <v>5.5881720000000001</v>
      </c>
      <c r="AA32" s="60">
        <f>Table5[[#This Row],[Energy$year]]/Table5[[#This Row],[SizTB]]</f>
        <v>2.7940860000000001</v>
      </c>
      <c r="AB32" s="52"/>
    </row>
    <row r="33" spans="1:28">
      <c r="A33" s="1">
        <v>43001</v>
      </c>
      <c r="B33" t="s">
        <v>10</v>
      </c>
      <c r="C33" s="129" t="s">
        <v>18</v>
      </c>
      <c r="D33" s="38"/>
      <c r="E33" s="120">
        <v>4</v>
      </c>
      <c r="F33" s="54">
        <v>7200</v>
      </c>
      <c r="G33" s="5">
        <v>4.16</v>
      </c>
      <c r="H33" s="5"/>
      <c r="I33" s="87">
        <f>(Table5[[#This Row],[RPM]]/5400-1)</f>
        <v>0.33333333333333326</v>
      </c>
      <c r="J33" s="57">
        <v>214</v>
      </c>
      <c r="K33">
        <v>5</v>
      </c>
      <c r="L33" s="48">
        <v>600000</v>
      </c>
      <c r="M33">
        <v>180</v>
      </c>
      <c r="N33" s="48"/>
      <c r="O33" s="47">
        <v>1000000000000000</v>
      </c>
      <c r="P33" s="75">
        <v>24</v>
      </c>
      <c r="Q33" s="5">
        <v>6.7</v>
      </c>
      <c r="R33" s="5">
        <v>6</v>
      </c>
      <c r="S33" s="76">
        <v>0.6</v>
      </c>
      <c r="T33" s="71">
        <v>174.99</v>
      </c>
      <c r="U33" s="10">
        <f>Table5[[#This Row],[Cost]]/Table5[[#This Row],[SizTB]]</f>
        <v>43.747500000000002</v>
      </c>
      <c r="V33" s="11">
        <f>Table5[[#This Row],[Cost]]+((CompareWarrYrs-Table5[[#This Row],[Warnty]])*(Incremental_Warr_Yr*Table5[[#This Row],[Cost]]))</f>
        <v>174.99</v>
      </c>
      <c r="W33" s="6">
        <f>Table5[[#This Row],[$+Warr]]/Table5[[#This Row],[SizTB]]</f>
        <v>43.747500000000002</v>
      </c>
      <c r="X33" s="10">
        <f>Table5[[#This Row],[$PerTB]]/CompareWarrYrs</f>
        <v>8.7495000000000012</v>
      </c>
      <c r="Y33" s="7"/>
      <c r="Z33" s="59">
        <f>(((Table5[[#This Row],[Watts Active]]*Power_On_Hours_Year/1000)*Active_Duty_Cycle)+((Table5[[#This Row],[Watts Idle]]*Power_On_Hours_Year/1000)*(100%-Active_Duty_Cycle)))*CostPerKWH</f>
        <v>6.7277208000000002</v>
      </c>
      <c r="AA33" s="60">
        <f>Table5[[#This Row],[Energy$year]]/Table5[[#This Row],[SizTB]]</f>
        <v>1.6819302</v>
      </c>
      <c r="AB33" s="52"/>
    </row>
    <row r="34" spans="1:28">
      <c r="A34" s="1">
        <v>42861</v>
      </c>
      <c r="B34" t="s">
        <v>10</v>
      </c>
      <c r="C34" s="129" t="s">
        <v>18</v>
      </c>
      <c r="D34" s="38"/>
      <c r="E34" s="120">
        <v>5</v>
      </c>
      <c r="F34" s="54">
        <v>7200</v>
      </c>
      <c r="G34" s="5">
        <v>4.16</v>
      </c>
      <c r="H34" s="5"/>
      <c r="I34" s="87">
        <f>(Table5[[#This Row],[RPM]]/5400-1)</f>
        <v>0.33333333333333326</v>
      </c>
      <c r="J34" s="57">
        <v>220</v>
      </c>
      <c r="K34">
        <v>5</v>
      </c>
      <c r="L34" s="48">
        <v>300000</v>
      </c>
      <c r="M34">
        <v>300</v>
      </c>
      <c r="N34" s="48"/>
      <c r="O34" s="47">
        <v>1000000000000000</v>
      </c>
      <c r="P34" s="75">
        <f t="shared" ref="P34" si="3">12*1.94</f>
        <v>23.28</v>
      </c>
      <c r="Q34" s="5">
        <v>8.3699999999999992</v>
      </c>
      <c r="R34" s="5">
        <v>4.42</v>
      </c>
      <c r="S34" s="76">
        <v>0.8</v>
      </c>
      <c r="T34" s="71">
        <v>214.99</v>
      </c>
      <c r="U34" s="10">
        <f>Table5[[#This Row],[Cost]]/Table5[[#This Row],[SizTB]]</f>
        <v>42.998000000000005</v>
      </c>
      <c r="V34" s="11">
        <f>Table5[[#This Row],[Cost]]+((CompareWarrYrs-Table5[[#This Row],[Warnty]])*(Incremental_Warr_Yr*Table5[[#This Row],[Cost]]))</f>
        <v>214.99</v>
      </c>
      <c r="W34" s="6">
        <f>Table5[[#This Row],[$+Warr]]/Table5[[#This Row],[SizTB]]</f>
        <v>42.998000000000005</v>
      </c>
      <c r="X34" s="10">
        <f>Table5[[#This Row],[$PerTB]]/CompareWarrYrs</f>
        <v>8.5996000000000006</v>
      </c>
      <c r="Y34" s="7"/>
      <c r="Z34" s="59">
        <f>(((Table5[[#This Row],[Watts Active]]*Power_On_Hours_Year/1000)*Active_Duty_Cycle)+((Table5[[#This Row],[Watts Idle]]*Power_On_Hours_Year/1000)*(100%-Active_Duty_Cycle)))*CostPerKWH</f>
        <v>5.7087012000000001</v>
      </c>
      <c r="AA34" s="60">
        <f>Table5[[#This Row],[Energy$year]]/Table5[[#This Row],[SizTB]]</f>
        <v>1.1417402400000001</v>
      </c>
      <c r="AB34" s="52"/>
    </row>
    <row r="35" spans="1:28">
      <c r="A35" s="1">
        <v>43001</v>
      </c>
      <c r="B35" t="s">
        <v>10</v>
      </c>
      <c r="C35" s="129" t="s">
        <v>18</v>
      </c>
      <c r="D35" s="38"/>
      <c r="E35" s="120">
        <v>6</v>
      </c>
      <c r="F35" s="54">
        <v>7200</v>
      </c>
      <c r="G35" s="5">
        <v>4.16</v>
      </c>
      <c r="H35" s="5"/>
      <c r="I35" s="87">
        <f>(Table5[[#This Row],[RPM]]/5400-1)</f>
        <v>0.33333333333333326</v>
      </c>
      <c r="J35" s="57">
        <v>180</v>
      </c>
      <c r="K35">
        <v>5</v>
      </c>
      <c r="L35" s="48">
        <v>300000</v>
      </c>
      <c r="M35">
        <v>300</v>
      </c>
      <c r="N35" s="48"/>
      <c r="O35" s="47">
        <v>1000000000000000</v>
      </c>
      <c r="P35" s="75">
        <v>24</v>
      </c>
      <c r="Q35" s="5">
        <v>9</v>
      </c>
      <c r="R35" s="5">
        <v>7.2</v>
      </c>
      <c r="S35" s="76">
        <v>0.6</v>
      </c>
      <c r="T35" s="71">
        <v>249.99</v>
      </c>
      <c r="U35" s="10">
        <f>Table5[[#This Row],[Cost]]/Table5[[#This Row],[SizTB]]</f>
        <v>41.664999999999999</v>
      </c>
      <c r="V35" s="11">
        <f>Table5[[#This Row],[Cost]]+((CompareWarrYrs-Table5[[#This Row],[Warnty]])*(Incremental_Warr_Yr*Table5[[#This Row],[Cost]]))</f>
        <v>249.99</v>
      </c>
      <c r="W35" s="6">
        <f>Table5[[#This Row],[$+Warr]]/Table5[[#This Row],[SizTB]]</f>
        <v>41.664999999999999</v>
      </c>
      <c r="X35" s="10">
        <f>Table5[[#This Row],[$PerTB]]/CompareWarrYrs</f>
        <v>8.3330000000000002</v>
      </c>
      <c r="Y35" s="7"/>
      <c r="Z35" s="59">
        <f>(((Table5[[#This Row],[Watts Active]]*Power_On_Hours_Year/1000)*Active_Duty_Cycle)+((Table5[[#This Row],[Watts Idle]]*Power_On_Hours_Year/1000)*(100%-Active_Duty_Cycle)))*CostPerKWH</f>
        <v>8.2836432000000002</v>
      </c>
      <c r="AA35" s="60">
        <f>Table5[[#This Row],[Energy$year]]/Table5[[#This Row],[SizTB]]</f>
        <v>1.3806072</v>
      </c>
      <c r="AB35" s="52"/>
    </row>
    <row r="36" spans="1:28">
      <c r="A36" s="1">
        <v>43001</v>
      </c>
      <c r="B36" t="s">
        <v>10</v>
      </c>
      <c r="C36" s="129" t="s">
        <v>18</v>
      </c>
      <c r="D36" s="38"/>
      <c r="E36" s="120">
        <v>8</v>
      </c>
      <c r="F36" s="54">
        <v>7200</v>
      </c>
      <c r="G36" s="5">
        <v>4.16</v>
      </c>
      <c r="H36" s="5"/>
      <c r="I36" s="87">
        <f>(Table5[[#This Row],[RPM]]/5400-1)</f>
        <v>0.33333333333333326</v>
      </c>
      <c r="J36" s="57">
        <v>220</v>
      </c>
      <c r="K36">
        <v>5</v>
      </c>
      <c r="L36" s="48">
        <v>300000</v>
      </c>
      <c r="M36">
        <v>300</v>
      </c>
      <c r="N36" s="48"/>
      <c r="O36" s="47">
        <v>1000000000000000</v>
      </c>
      <c r="P36" s="75">
        <f>12*2</f>
        <v>24</v>
      </c>
      <c r="Q36" s="5">
        <v>6.8</v>
      </c>
      <c r="R36" s="5">
        <v>4.5</v>
      </c>
      <c r="S36" s="76">
        <v>0.8</v>
      </c>
      <c r="T36" s="71">
        <v>319.99</v>
      </c>
      <c r="U36" s="10">
        <f>Table5[[#This Row],[Cost]]/Table5[[#This Row],[SizTB]]</f>
        <v>39.998750000000001</v>
      </c>
      <c r="V36" s="11">
        <f>Table5[[#This Row],[Cost]]+((CompareWarrYrs-Table5[[#This Row],[Warnty]])*(Incremental_Warr_Yr*Table5[[#This Row],[Cost]]))</f>
        <v>319.99</v>
      </c>
      <c r="W36" s="6">
        <f>Table5[[#This Row],[$+Warr]]/Table5[[#This Row],[SizTB]]</f>
        <v>39.998750000000001</v>
      </c>
      <c r="X36" s="10">
        <f>Table5[[#This Row],[$PerTB]]/CompareWarrYrs</f>
        <v>7.9997500000000006</v>
      </c>
      <c r="Y36" s="7"/>
      <c r="Z36" s="59">
        <f>(((Table5[[#This Row],[Watts Active]]*Power_On_Hours_Year/1000)*Active_Duty_Cycle)+((Table5[[#This Row],[Watts Idle]]*Power_On_Hours_Year/1000)*(100%-Active_Duty_Cycle)))*CostPerKWH</f>
        <v>5.4347712000000001</v>
      </c>
      <c r="AA36" s="60">
        <f>Table5[[#This Row],[Energy$year]]/Table5[[#This Row],[SizTB]]</f>
        <v>0.67934640000000002</v>
      </c>
      <c r="AB36" s="52"/>
    </row>
    <row r="37" spans="1:28">
      <c r="A37" s="1">
        <v>43001</v>
      </c>
      <c r="B37" t="s">
        <v>10</v>
      </c>
      <c r="C37" s="129" t="s">
        <v>18</v>
      </c>
      <c r="D37" s="38"/>
      <c r="E37" s="120">
        <v>10</v>
      </c>
      <c r="F37" s="54">
        <v>7200</v>
      </c>
      <c r="G37" s="5">
        <v>4.16</v>
      </c>
      <c r="H37" s="5"/>
      <c r="I37" s="87">
        <f>(Table5[[#This Row],[RPM]]/5400-1)</f>
        <v>0.33333333333333326</v>
      </c>
      <c r="J37" s="57">
        <v>220</v>
      </c>
      <c r="K37">
        <v>5</v>
      </c>
      <c r="L37" s="48">
        <v>300000</v>
      </c>
      <c r="M37">
        <v>300</v>
      </c>
      <c r="N37" s="48"/>
      <c r="O37" s="47">
        <v>1000000000000000</v>
      </c>
      <c r="P37" s="75">
        <f>12*1.8</f>
        <v>21.6</v>
      </c>
      <c r="Q37" s="5">
        <v>6.8</v>
      </c>
      <c r="R37" s="5">
        <v>4.5</v>
      </c>
      <c r="S37" s="76">
        <v>0.8</v>
      </c>
      <c r="T37" s="71">
        <v>424.99</v>
      </c>
      <c r="U37" s="10">
        <f>Table5[[#This Row],[Cost]]/Table5[[#This Row],[SizTB]]</f>
        <v>42.499000000000002</v>
      </c>
      <c r="V37" s="11">
        <f>Table5[[#This Row],[Cost]]+((CompareWarrYrs-Table5[[#This Row],[Warnty]])*(Incremental_Warr_Yr*Table5[[#This Row],[Cost]]))</f>
        <v>424.99</v>
      </c>
      <c r="W37" s="6">
        <f>Table5[[#This Row],[$+Warr]]/Table5[[#This Row],[SizTB]]</f>
        <v>42.499000000000002</v>
      </c>
      <c r="X37" s="10">
        <f>Table5[[#This Row],[$PerTB]]/CompareWarrYrs</f>
        <v>8.4998000000000005</v>
      </c>
      <c r="Y37" s="7"/>
      <c r="Z37" s="59">
        <f>(((Table5[[#This Row],[Watts Active]]*Power_On_Hours_Year/1000)*Active_Duty_Cycle)+((Table5[[#This Row],[Watts Idle]]*Power_On_Hours_Year/1000)*(100%-Active_Duty_Cycle)))*CostPerKWH</f>
        <v>5.4347712000000001</v>
      </c>
      <c r="AA37" s="60">
        <f>Table5[[#This Row],[Energy$year]]/Table5[[#This Row],[SizTB]]</f>
        <v>0.54347712000000004</v>
      </c>
      <c r="AB37" s="52"/>
    </row>
    <row r="38" spans="1:28">
      <c r="A38" s="1">
        <v>42981</v>
      </c>
      <c r="B38" t="s">
        <v>10</v>
      </c>
      <c r="C38" s="129" t="s">
        <v>54</v>
      </c>
      <c r="D38" s="38" t="s">
        <v>60</v>
      </c>
      <c r="E38" s="120">
        <v>1</v>
      </c>
      <c r="F38" s="54">
        <v>7200</v>
      </c>
      <c r="G38" s="5">
        <v>4.16</v>
      </c>
      <c r="H38" s="5"/>
      <c r="I38" s="87">
        <f>(Table5[[#This Row],[RPM]]/5400-1)</f>
        <v>0.33333333333333326</v>
      </c>
      <c r="J38" s="57">
        <v>175</v>
      </c>
      <c r="K38">
        <v>5</v>
      </c>
      <c r="L38" s="48"/>
      <c r="N38" s="48">
        <v>2000000</v>
      </c>
      <c r="O38" s="47">
        <v>1000000000000000</v>
      </c>
      <c r="P38" s="75">
        <f>2.6*12</f>
        <v>31.200000000000003</v>
      </c>
      <c r="Q38" s="5">
        <v>8.08</v>
      </c>
      <c r="R38" s="5">
        <v>4.45</v>
      </c>
      <c r="S38" s="76">
        <v>0.8</v>
      </c>
      <c r="T38" s="71">
        <v>90</v>
      </c>
      <c r="U38" s="10">
        <f>Table5[[#This Row],[Cost]]/Table5[[#This Row],[SizTB]]</f>
        <v>90</v>
      </c>
      <c r="V38" s="11">
        <f>Table5[[#This Row],[Cost]]+((CompareWarrYrs-Table5[[#This Row],[Warnty]])*(Incremental_Warr_Yr*Table5[[#This Row],[Cost]]))</f>
        <v>90</v>
      </c>
      <c r="W38" s="6">
        <f>Table5[[#This Row],[$+Warr]]/Table5[[#This Row],[SizTB]]</f>
        <v>90</v>
      </c>
      <c r="X38" s="10">
        <f>Table5[[#This Row],[$PerTB]]/CompareWarrYrs</f>
        <v>18</v>
      </c>
      <c r="Y38" s="14"/>
      <c r="Z38" s="59">
        <f>(((Table5[[#This Row],[Watts Active]]*Power_On_Hours_Year/1000)*Active_Duty_Cycle)+((Table5[[#This Row],[Watts Idle]]*Power_On_Hours_Year/1000)*(100%-Active_Duty_Cycle)))*CostPerKWH</f>
        <v>5.6714467200000014</v>
      </c>
      <c r="AA38" s="60">
        <f>Table5[[#This Row],[Energy$year]]/Table5[[#This Row],[SizTB]]</f>
        <v>5.6714467200000014</v>
      </c>
      <c r="AB38" s="52"/>
    </row>
    <row r="39" spans="1:28">
      <c r="A39" s="1">
        <v>42981</v>
      </c>
      <c r="B39" t="s">
        <v>10</v>
      </c>
      <c r="C39" s="129" t="s">
        <v>54</v>
      </c>
      <c r="D39" s="38" t="s">
        <v>60</v>
      </c>
      <c r="E39" s="120">
        <v>2</v>
      </c>
      <c r="F39" s="54">
        <v>7200</v>
      </c>
      <c r="G39" s="5">
        <v>4.16</v>
      </c>
      <c r="H39" s="5"/>
      <c r="I39" s="87">
        <f>(Table5[[#This Row],[RPM]]/5400-1)</f>
        <v>0.33333333333333326</v>
      </c>
      <c r="J39" s="57">
        <v>175</v>
      </c>
      <c r="K39">
        <v>5</v>
      </c>
      <c r="L39" s="48"/>
      <c r="N39" s="48">
        <v>2000000</v>
      </c>
      <c r="O39" s="47">
        <v>1000000000000000</v>
      </c>
      <c r="P39" s="75">
        <f t="shared" ref="P39:P41" si="4">2.6*12</f>
        <v>31.200000000000003</v>
      </c>
      <c r="Q39" s="5">
        <v>9.42</v>
      </c>
      <c r="R39" s="5">
        <v>5.17</v>
      </c>
      <c r="S39" s="76">
        <f>0.15*5+0.01*12</f>
        <v>0.87</v>
      </c>
      <c r="T39" s="71">
        <v>119</v>
      </c>
      <c r="U39" s="10">
        <f>Table5[[#This Row],[Cost]]/Table5[[#This Row],[SizTB]]</f>
        <v>59.5</v>
      </c>
      <c r="V39" s="11">
        <f>Table5[[#This Row],[Cost]]+((CompareWarrYrs-Table5[[#This Row],[Warnty]])*(Incremental_Warr_Yr*Table5[[#This Row],[Cost]]))</f>
        <v>119</v>
      </c>
      <c r="W39" s="6">
        <f>Table5[[#This Row],[$+Warr]]/Table5[[#This Row],[SizTB]]</f>
        <v>59.5</v>
      </c>
      <c r="X39" s="10">
        <f>Table5[[#This Row],[$PerTB]]/CompareWarrYrs</f>
        <v>11.9</v>
      </c>
      <c r="Y39" s="14"/>
      <c r="Z39" s="59">
        <f>(((Table5[[#This Row],[Watts Active]]*Power_On_Hours_Year/1000)*Active_Duty_Cycle)+((Table5[[#This Row],[Watts Idle]]*Power_On_Hours_Year/1000)*(100%-Active_Duty_Cycle)))*CostPerKWH</f>
        <v>6.5962344000000002</v>
      </c>
      <c r="AA39" s="60">
        <f>Table5[[#This Row],[Energy$year]]/Table5[[#This Row],[SizTB]]</f>
        <v>3.2981172000000001</v>
      </c>
      <c r="AB39" s="52"/>
    </row>
    <row r="40" spans="1:28">
      <c r="A40" s="1">
        <v>42981</v>
      </c>
      <c r="B40" t="s">
        <v>10</v>
      </c>
      <c r="C40" s="129" t="s">
        <v>54</v>
      </c>
      <c r="D40" s="38" t="s">
        <v>60</v>
      </c>
      <c r="E40" s="120">
        <v>3</v>
      </c>
      <c r="F40" s="54">
        <v>7200</v>
      </c>
      <c r="G40" s="5">
        <v>4.16</v>
      </c>
      <c r="H40" s="5"/>
      <c r="I40" s="87">
        <f>(Table5[[#This Row],[RPM]]/5400-1)</f>
        <v>0.33333333333333326</v>
      </c>
      <c r="J40" s="57">
        <v>175</v>
      </c>
      <c r="K40">
        <v>5</v>
      </c>
      <c r="L40" s="48"/>
      <c r="N40" s="48">
        <v>2000000</v>
      </c>
      <c r="O40" s="47">
        <v>1000000000000000</v>
      </c>
      <c r="P40" s="75">
        <f t="shared" si="4"/>
        <v>31.200000000000003</v>
      </c>
      <c r="Q40" s="5">
        <v>11.27</v>
      </c>
      <c r="R40" s="5">
        <v>6.73</v>
      </c>
      <c r="S40" s="76">
        <f>0.15*5+0.01*12</f>
        <v>0.87</v>
      </c>
      <c r="T40" s="71">
        <v>129.99</v>
      </c>
      <c r="U40" s="10">
        <f>Table5[[#This Row],[Cost]]/Table5[[#This Row],[SizTB]]</f>
        <v>43.330000000000005</v>
      </c>
      <c r="V40" s="11">
        <f>Table5[[#This Row],[Cost]]+((CompareWarrYrs-Table5[[#This Row],[Warnty]])*(Incremental_Warr_Yr*Table5[[#This Row],[Cost]]))</f>
        <v>129.99</v>
      </c>
      <c r="W40" s="6">
        <f>Table5[[#This Row],[$+Warr]]/Table5[[#This Row],[SizTB]]</f>
        <v>43.330000000000005</v>
      </c>
      <c r="X40" s="10">
        <f>Table5[[#This Row],[$PerTB]]/CompareWarrYrs</f>
        <v>8.6660000000000004</v>
      </c>
      <c r="Y40" s="14"/>
      <c r="Z40" s="59">
        <f>(((Table5[[#This Row],[Watts Active]]*Power_On_Hours_Year/1000)*Active_Duty_Cycle)+((Table5[[#This Row],[Watts Idle]]*Power_On_Hours_Year/1000)*(100%-Active_Duty_Cycle)))*CostPerKWH</f>
        <v>8.3691093600000013</v>
      </c>
      <c r="AA40" s="60">
        <f>Table5[[#This Row],[Energy$year]]/Table5[[#This Row],[SizTB]]</f>
        <v>2.7897031200000004</v>
      </c>
      <c r="AB40" s="52"/>
    </row>
    <row r="41" spans="1:28">
      <c r="A41" s="1">
        <v>42981</v>
      </c>
      <c r="B41" t="s">
        <v>10</v>
      </c>
      <c r="C41" s="129" t="s">
        <v>54</v>
      </c>
      <c r="D41" s="38" t="s">
        <v>60</v>
      </c>
      <c r="E41" s="120">
        <v>4</v>
      </c>
      <c r="F41" s="54">
        <v>7200</v>
      </c>
      <c r="G41" s="5">
        <v>4.16</v>
      </c>
      <c r="H41" s="5"/>
      <c r="I41" s="87">
        <f>(Table5[[#This Row],[RPM]]/5400-1)</f>
        <v>0.33333333333333326</v>
      </c>
      <c r="J41" s="57">
        <v>175</v>
      </c>
      <c r="K41">
        <v>5</v>
      </c>
      <c r="L41" s="48"/>
      <c r="N41" s="48">
        <v>2000000</v>
      </c>
      <c r="O41" s="47">
        <v>1000000000000000</v>
      </c>
      <c r="P41" s="75">
        <f t="shared" si="4"/>
        <v>31.200000000000003</v>
      </c>
      <c r="Q41" s="5">
        <v>11.27</v>
      </c>
      <c r="R41" s="5">
        <v>6.73</v>
      </c>
      <c r="S41" s="76">
        <f>0.15*5+0.01*12</f>
        <v>0.87</v>
      </c>
      <c r="T41" s="71">
        <v>158.99</v>
      </c>
      <c r="U41" s="10">
        <f>Table5[[#This Row],[Cost]]/Table5[[#This Row],[SizTB]]</f>
        <v>39.747500000000002</v>
      </c>
      <c r="V41" s="11">
        <f>Table5[[#This Row],[Cost]]+((CompareWarrYrs-Table5[[#This Row],[Warnty]])*(Incremental_Warr_Yr*Table5[[#This Row],[Cost]]))</f>
        <v>158.99</v>
      </c>
      <c r="W41" s="6">
        <f>Table5[[#This Row],[$+Warr]]/Table5[[#This Row],[SizTB]]</f>
        <v>39.747500000000002</v>
      </c>
      <c r="X41" s="10">
        <f>Table5[[#This Row],[$PerTB]]/CompareWarrYrs</f>
        <v>7.9495000000000005</v>
      </c>
      <c r="Y41" s="14"/>
      <c r="Z41" s="59">
        <f>(((Table5[[#This Row],[Watts Active]]*Power_On_Hours_Year/1000)*Active_Duty_Cycle)+((Table5[[#This Row],[Watts Idle]]*Power_On_Hours_Year/1000)*(100%-Active_Duty_Cycle)))*CostPerKWH</f>
        <v>8.3691093600000013</v>
      </c>
      <c r="AA41" s="60">
        <f>Table5[[#This Row],[Energy$year]]/Table5[[#This Row],[SizTB]]</f>
        <v>2.0922773400000003</v>
      </c>
      <c r="AB41" s="52"/>
    </row>
    <row r="42" spans="1:28">
      <c r="A42" s="1">
        <v>42971</v>
      </c>
      <c r="B42" t="s">
        <v>10</v>
      </c>
      <c r="C42" s="129" t="s">
        <v>82</v>
      </c>
      <c r="D42" s="38" t="s">
        <v>60</v>
      </c>
      <c r="E42" s="120">
        <v>1</v>
      </c>
      <c r="F42" s="54">
        <v>7200</v>
      </c>
      <c r="G42" s="5">
        <v>4.16</v>
      </c>
      <c r="H42" s="5"/>
      <c r="I42" s="87">
        <f>(Table5[[#This Row],[RPM]]/5400-1)</f>
        <v>0.33333333333333326</v>
      </c>
      <c r="J42" s="57">
        <v>215</v>
      </c>
      <c r="K42">
        <v>5</v>
      </c>
      <c r="L42" s="48"/>
      <c r="M42">
        <v>550</v>
      </c>
      <c r="N42" s="48">
        <v>2000000</v>
      </c>
      <c r="O42" s="47">
        <v>1000000000000000</v>
      </c>
      <c r="P42" s="75"/>
      <c r="Q42" s="5">
        <v>5.91</v>
      </c>
      <c r="R42" s="5">
        <v>4.25</v>
      </c>
      <c r="S42" s="76"/>
      <c r="T42" s="71">
        <v>99.99</v>
      </c>
      <c r="U42" s="10">
        <f>Table5[[#This Row],[Cost]]/Table5[[#This Row],[SizTB]]</f>
        <v>99.99</v>
      </c>
      <c r="V42" s="11">
        <f>Table5[[#This Row],[Cost]]+((CompareWarrYrs-Table5[[#This Row],[Warnty]])*(Incremental_Warr_Yr*Table5[[#This Row],[Cost]]))</f>
        <v>99.99</v>
      </c>
      <c r="W42" s="6">
        <f>Table5[[#This Row],[$+Warr]]/Table5[[#This Row],[SizTB]]</f>
        <v>99.99</v>
      </c>
      <c r="X42" s="10">
        <f>Table5[[#This Row],[$PerTB]]/CompareWarrYrs</f>
        <v>19.997999999999998</v>
      </c>
      <c r="Y42" s="7"/>
      <c r="Z42" s="59">
        <f>(((Table5[[#This Row],[Watts Active]]*Power_On_Hours_Year/1000)*Active_Duty_Cycle)+((Table5[[#This Row],[Watts Idle]]*Power_On_Hours_Year/1000)*(100%-Active_Duty_Cycle)))*CostPerKWH</f>
        <v>5.0205890399999999</v>
      </c>
      <c r="AA42" s="60">
        <f>Table5[[#This Row],[Energy$year]]/Table5[[#This Row],[SizTB]]</f>
        <v>5.0205890399999999</v>
      </c>
      <c r="AB42" s="52"/>
    </row>
    <row r="43" spans="1:28">
      <c r="A43" s="1">
        <v>42970</v>
      </c>
      <c r="B43" t="s">
        <v>10</v>
      </c>
      <c r="C43" s="129" t="s">
        <v>82</v>
      </c>
      <c r="D43" s="38" t="s">
        <v>60</v>
      </c>
      <c r="E43" s="120">
        <v>2</v>
      </c>
      <c r="F43" s="54">
        <v>7200</v>
      </c>
      <c r="G43" s="5">
        <v>4.16</v>
      </c>
      <c r="H43" s="5"/>
      <c r="I43" s="87">
        <f>(Table5[[#This Row],[RPM]]/5400-1)</f>
        <v>0.33333333333333326</v>
      </c>
      <c r="J43" s="57">
        <v>226</v>
      </c>
      <c r="K43">
        <v>5</v>
      </c>
      <c r="L43" s="48"/>
      <c r="M43">
        <v>550</v>
      </c>
      <c r="N43" s="48">
        <v>2000000</v>
      </c>
      <c r="O43" s="47">
        <v>1000000000000000</v>
      </c>
      <c r="P43" s="75"/>
      <c r="Q43" s="5">
        <v>5.91</v>
      </c>
      <c r="R43" s="5">
        <v>4.25</v>
      </c>
      <c r="S43" s="76">
        <v>0.6</v>
      </c>
      <c r="T43" s="71">
        <f>119.99*0.9</f>
        <v>107.991</v>
      </c>
      <c r="U43" s="10">
        <f>Table5[[#This Row],[Cost]]/Table5[[#This Row],[SizTB]]</f>
        <v>53.9955</v>
      </c>
      <c r="V43" s="11">
        <f>Table5[[#This Row],[Cost]]+((CompareWarrYrs-Table5[[#This Row],[Warnty]])*(Incremental_Warr_Yr*Table5[[#This Row],[Cost]]))</f>
        <v>107.991</v>
      </c>
      <c r="W43" s="6">
        <f>Table5[[#This Row],[$+Warr]]/Table5[[#This Row],[SizTB]]</f>
        <v>53.9955</v>
      </c>
      <c r="X43" s="10">
        <f>Table5[[#This Row],[$PerTB]]/CompareWarrYrs</f>
        <v>10.799099999999999</v>
      </c>
      <c r="Y43" s="7"/>
      <c r="Z43" s="59">
        <f>(((Table5[[#This Row],[Watts Active]]*Power_On_Hours_Year/1000)*Active_Duty_Cycle)+((Table5[[#This Row],[Watts Idle]]*Power_On_Hours_Year/1000)*(100%-Active_Duty_Cycle)))*CostPerKWH</f>
        <v>5.0205890399999999</v>
      </c>
      <c r="AA43" s="60">
        <f>Table5[[#This Row],[Energy$year]]/Table5[[#This Row],[SizTB]]</f>
        <v>2.51029452</v>
      </c>
      <c r="AB43" s="52"/>
    </row>
    <row r="44" spans="1:28">
      <c r="A44" s="1">
        <v>42971</v>
      </c>
      <c r="B44" t="s">
        <v>10</v>
      </c>
      <c r="C44" s="129" t="s">
        <v>82</v>
      </c>
      <c r="D44" s="38" t="s">
        <v>60</v>
      </c>
      <c r="E44" s="120">
        <v>3</v>
      </c>
      <c r="F44" s="54">
        <v>7200</v>
      </c>
      <c r="G44" s="5">
        <v>4.16</v>
      </c>
      <c r="H44" s="5"/>
      <c r="I44" s="87">
        <f>(Table5[[#This Row],[RPM]]/5400-1)</f>
        <v>0.33333333333333326</v>
      </c>
      <c r="J44" s="57">
        <v>215</v>
      </c>
      <c r="K44">
        <v>5</v>
      </c>
      <c r="L44" s="48"/>
      <c r="M44">
        <v>550</v>
      </c>
      <c r="N44" s="48">
        <v>2000000</v>
      </c>
      <c r="O44" s="47">
        <v>1000000000000000</v>
      </c>
      <c r="P44" s="75"/>
      <c r="Q44" s="5">
        <v>6.9</v>
      </c>
      <c r="R44" s="5">
        <v>5.45</v>
      </c>
      <c r="S44" s="76">
        <v>0.6</v>
      </c>
      <c r="T44" s="71">
        <v>176.92</v>
      </c>
      <c r="U44" s="10">
        <f>Table5[[#This Row],[Cost]]/Table5[[#This Row],[SizTB]]</f>
        <v>58.973333333333329</v>
      </c>
      <c r="V44" s="11">
        <f>Table5[[#This Row],[Cost]]+((CompareWarrYrs-Table5[[#This Row],[Warnty]])*(Incremental_Warr_Yr*Table5[[#This Row],[Cost]]))</f>
        <v>176.92</v>
      </c>
      <c r="W44" s="6">
        <f>Table5[[#This Row],[$+Warr]]/Table5[[#This Row],[SizTB]]</f>
        <v>58.973333333333329</v>
      </c>
      <c r="X44" s="10">
        <f>Table5[[#This Row],[$PerTB]]/CompareWarrYrs</f>
        <v>11.794666666666666</v>
      </c>
      <c r="Y44" s="7"/>
      <c r="Z44" s="59">
        <f>(((Table5[[#This Row],[Watts Active]]*Power_On_Hours_Year/1000)*Active_Duty_Cycle)+((Table5[[#This Row],[Watts Idle]]*Power_On_Hours_Year/1000)*(100%-Active_Duty_Cycle)))*CostPerKWH</f>
        <v>6.2894328000000002</v>
      </c>
      <c r="AA44" s="60">
        <f>Table5[[#This Row],[Energy$year]]/Table5[[#This Row],[SizTB]]</f>
        <v>2.0964776000000001</v>
      </c>
      <c r="AB44" s="52"/>
    </row>
    <row r="45" spans="1:28">
      <c r="A45" s="1">
        <v>42970</v>
      </c>
      <c r="B45" t="s">
        <v>10</v>
      </c>
      <c r="C45" s="129" t="s">
        <v>82</v>
      </c>
      <c r="D45" s="38" t="s">
        <v>60</v>
      </c>
      <c r="E45" s="120">
        <v>4</v>
      </c>
      <c r="F45" s="54">
        <v>7200</v>
      </c>
      <c r="G45" s="5">
        <v>4.16</v>
      </c>
      <c r="H45" s="5"/>
      <c r="I45" s="87">
        <f>(Table5[[#This Row],[RPM]]/5400-1)</f>
        <v>0.33333333333333326</v>
      </c>
      <c r="J45" s="57">
        <v>226</v>
      </c>
      <c r="K45">
        <v>5</v>
      </c>
      <c r="L45" s="48"/>
      <c r="M45">
        <v>550</v>
      </c>
      <c r="N45" s="48">
        <v>2000000</v>
      </c>
      <c r="O45" s="47">
        <v>1000000000000000</v>
      </c>
      <c r="P45" s="75"/>
      <c r="Q45" s="5">
        <v>6.9</v>
      </c>
      <c r="R45" s="5">
        <v>5.45</v>
      </c>
      <c r="S45" s="76">
        <v>0.6</v>
      </c>
      <c r="T45" s="71">
        <v>179.99</v>
      </c>
      <c r="U45" s="10">
        <f>Table5[[#This Row],[Cost]]/Table5[[#This Row],[SizTB]]</f>
        <v>44.997500000000002</v>
      </c>
      <c r="V45" s="11">
        <f>Table5[[#This Row],[Cost]]+((CompareWarrYrs-Table5[[#This Row],[Warnty]])*(Incremental_Warr_Yr*Table5[[#This Row],[Cost]]))</f>
        <v>179.99</v>
      </c>
      <c r="W45" s="6">
        <f>Table5[[#This Row],[$+Warr]]/Table5[[#This Row],[SizTB]]</f>
        <v>44.997500000000002</v>
      </c>
      <c r="X45" s="10">
        <f>Table5[[#This Row],[$PerTB]]/CompareWarrYrs</f>
        <v>8.9995000000000012</v>
      </c>
      <c r="Y45" s="7"/>
      <c r="Z45" s="59">
        <f>(((Table5[[#This Row],[Watts Active]]*Power_On_Hours_Year/1000)*Active_Duty_Cycle)+((Table5[[#This Row],[Watts Idle]]*Power_On_Hours_Year/1000)*(100%-Active_Duty_Cycle)))*CostPerKWH</f>
        <v>6.2894328000000002</v>
      </c>
      <c r="AA45" s="60">
        <f>Table5[[#This Row],[Energy$year]]/Table5[[#This Row],[SizTB]]</f>
        <v>1.5723582</v>
      </c>
      <c r="AB45" s="52"/>
    </row>
    <row r="46" spans="1:28">
      <c r="A46" s="1">
        <v>42993</v>
      </c>
      <c r="B46" t="s">
        <v>10</v>
      </c>
      <c r="C46" s="129" t="s">
        <v>82</v>
      </c>
      <c r="D46" s="38" t="s">
        <v>60</v>
      </c>
      <c r="E46" s="120">
        <v>6</v>
      </c>
      <c r="F46" s="54">
        <v>7200</v>
      </c>
      <c r="G46" s="5">
        <v>4.16</v>
      </c>
      <c r="H46" s="5"/>
      <c r="I46" s="87">
        <f>(Table5[[#This Row],[RPM]]/5400-1)</f>
        <v>0.33333333333333326</v>
      </c>
      <c r="J46" s="57">
        <v>226</v>
      </c>
      <c r="K46">
        <v>5</v>
      </c>
      <c r="L46" s="48"/>
      <c r="M46">
        <v>550</v>
      </c>
      <c r="N46" s="48">
        <v>2000000</v>
      </c>
      <c r="O46" s="47">
        <v>1000000000000000</v>
      </c>
      <c r="P46" s="75"/>
      <c r="Q46" s="5">
        <v>9.8000000000000007</v>
      </c>
      <c r="R46" s="5">
        <v>8.15</v>
      </c>
      <c r="S46" s="76">
        <v>0.6</v>
      </c>
      <c r="T46" s="71">
        <f>244.99*0.9</f>
        <v>220.49100000000001</v>
      </c>
      <c r="U46" s="10">
        <f>Table5[[#This Row],[Cost]]/Table5[[#This Row],[SizTB]]</f>
        <v>36.7485</v>
      </c>
      <c r="V46" s="11">
        <f>Table5[[#This Row],[Cost]]+((CompareWarrYrs-Table5[[#This Row],[Warnty]])*(Incremental_Warr_Yr*Table5[[#This Row],[Cost]]))</f>
        <v>220.49100000000001</v>
      </c>
      <c r="W46" s="6">
        <f>Table5[[#This Row],[$+Warr]]/Table5[[#This Row],[SizTB]]</f>
        <v>36.7485</v>
      </c>
      <c r="X46" s="10">
        <f>Table5[[#This Row],[$PerTB]]/CompareWarrYrs</f>
        <v>7.3497000000000003</v>
      </c>
      <c r="Y46" s="7"/>
      <c r="Z46" s="59">
        <f>(((Table5[[#This Row],[Watts Active]]*Power_On_Hours_Year/1000)*Active_Duty_Cycle)+((Table5[[#This Row],[Watts Idle]]*Power_On_Hours_Year/1000)*(100%-Active_Duty_Cycle)))*CostPerKWH</f>
        <v>9.2917056000000002</v>
      </c>
      <c r="AA46" s="60">
        <f>Table5[[#This Row],[Energy$year]]/Table5[[#This Row],[SizTB]]</f>
        <v>1.5486176</v>
      </c>
      <c r="AB46" s="52"/>
    </row>
    <row r="47" spans="1:28">
      <c r="A47" s="1">
        <v>42970</v>
      </c>
      <c r="B47" t="s">
        <v>10</v>
      </c>
      <c r="C47" s="129" t="s">
        <v>82</v>
      </c>
      <c r="D47" s="38" t="s">
        <v>60</v>
      </c>
      <c r="E47" s="120">
        <v>8</v>
      </c>
      <c r="F47" s="54">
        <v>7200</v>
      </c>
      <c r="G47" s="5">
        <v>4.16</v>
      </c>
      <c r="H47" s="5"/>
      <c r="I47" s="87">
        <f>(Table5[[#This Row],[RPM]]/5400-1)</f>
        <v>0.33333333333333326</v>
      </c>
      <c r="J47" s="57">
        <v>249</v>
      </c>
      <c r="K47">
        <v>5</v>
      </c>
      <c r="L47" s="48"/>
      <c r="M47">
        <v>550</v>
      </c>
      <c r="N47" s="48">
        <v>2000000</v>
      </c>
      <c r="O47" s="47">
        <v>1000000000000000</v>
      </c>
      <c r="P47" s="75"/>
      <c r="Q47" s="5">
        <v>11</v>
      </c>
      <c r="R47" s="5">
        <v>7.6</v>
      </c>
      <c r="S47" s="76">
        <v>0.6</v>
      </c>
      <c r="T47" s="71">
        <v>289.99</v>
      </c>
      <c r="U47" s="10">
        <f>Table5[[#This Row],[Cost]]/Table5[[#This Row],[SizTB]]</f>
        <v>36.248750000000001</v>
      </c>
      <c r="V47" s="11">
        <f>Table5[[#This Row],[Cost]]+((CompareWarrYrs-Table5[[#This Row],[Warnty]])*(Incremental_Warr_Yr*Table5[[#This Row],[Cost]]))</f>
        <v>289.99</v>
      </c>
      <c r="W47" s="6">
        <f>Table5[[#This Row],[$+Warr]]/Table5[[#This Row],[SizTB]]</f>
        <v>36.248750000000001</v>
      </c>
      <c r="X47" s="10">
        <f>Table5[[#This Row],[$PerTB]]/CompareWarrYrs</f>
        <v>7.2497500000000006</v>
      </c>
      <c r="Y47" s="7"/>
      <c r="Z47" s="59">
        <f>(((Table5[[#This Row],[Watts Active]]*Power_On_Hours_Year/1000)*Active_Duty_Cycle)+((Table5[[#This Row],[Watts Idle]]*Power_On_Hours_Year/1000)*(100%-Active_Duty_Cycle)))*CostPerKWH</f>
        <v>9.0725616000000002</v>
      </c>
      <c r="AA47" s="60">
        <f>Table5[[#This Row],[Energy$year]]/Table5[[#This Row],[SizTB]]</f>
        <v>1.1340702</v>
      </c>
      <c r="AB47" s="52"/>
    </row>
    <row r="48" spans="1:28">
      <c r="A48" s="1">
        <v>42981</v>
      </c>
      <c r="B48" t="s">
        <v>10</v>
      </c>
      <c r="C48" s="129" t="s">
        <v>110</v>
      </c>
      <c r="D48" s="38" t="s">
        <v>60</v>
      </c>
      <c r="E48" s="120">
        <v>8</v>
      </c>
      <c r="F48" s="54">
        <v>7200</v>
      </c>
      <c r="G48" s="5">
        <v>4.16</v>
      </c>
      <c r="H48" s="5"/>
      <c r="I48" s="87">
        <f>(Table5[[#This Row],[RPM]]/5400-1)</f>
        <v>0.33333333333333326</v>
      </c>
      <c r="J48" s="57">
        <v>237</v>
      </c>
      <c r="K48">
        <v>5</v>
      </c>
      <c r="L48" s="48">
        <v>600000</v>
      </c>
      <c r="M48">
        <v>550</v>
      </c>
      <c r="N48" s="48">
        <v>2500000</v>
      </c>
      <c r="O48" s="47">
        <v>1000000000000000</v>
      </c>
      <c r="P48" s="75">
        <v>26.21</v>
      </c>
      <c r="Q48" s="5">
        <v>7.8</v>
      </c>
      <c r="R48" s="51">
        <v>5</v>
      </c>
      <c r="S48" s="76">
        <v>0.8</v>
      </c>
      <c r="T48" s="71">
        <v>350.99</v>
      </c>
      <c r="U48" s="10">
        <f>Table5[[#This Row],[Cost]]/Table5[[#This Row],[SizTB]]</f>
        <v>43.873750000000001</v>
      </c>
      <c r="V48" s="11">
        <f>Table5[[#This Row],[Cost]]+((CompareWarrYrs-Table5[[#This Row],[Warnty]])*(Incremental_Warr_Yr*Table5[[#This Row],[Cost]]))</f>
        <v>350.99</v>
      </c>
      <c r="W48" s="6">
        <f>Table5[[#This Row],[$+Warr]]/Table5[[#This Row],[SizTB]]</f>
        <v>43.873750000000001</v>
      </c>
      <c r="X48" s="10">
        <f>Table5[[#This Row],[$PerTB]]/CompareWarrYrs</f>
        <v>8.7747500000000009</v>
      </c>
      <c r="Y48" s="7"/>
      <c r="Z48" s="59">
        <f>(((Table5[[#This Row],[Watts Active]]*Power_On_Hours_Year/1000)*Active_Duty_Cycle)+((Table5[[#This Row],[Watts Idle]]*Power_On_Hours_Year/1000)*(100%-Active_Duty_Cycle)))*CostPerKWH</f>
        <v>6.0922032000000002</v>
      </c>
      <c r="AA48" s="60">
        <f>Table5[[#This Row],[Energy$year]]/Table5[[#This Row],[SizTB]]</f>
        <v>0.76152540000000002</v>
      </c>
      <c r="AB48" s="52" t="s">
        <v>43</v>
      </c>
    </row>
    <row r="49" spans="1:28">
      <c r="A49" s="1">
        <v>42981</v>
      </c>
      <c r="B49" t="s">
        <v>10</v>
      </c>
      <c r="C49" s="129" t="s">
        <v>110</v>
      </c>
      <c r="D49" s="38" t="s">
        <v>60</v>
      </c>
      <c r="E49" s="120">
        <v>10</v>
      </c>
      <c r="F49" s="54">
        <v>7200</v>
      </c>
      <c r="G49" s="5">
        <v>4.16</v>
      </c>
      <c r="H49" s="5"/>
      <c r="I49" s="87">
        <f>(Table5[[#This Row],[RPM]]/5400-1)</f>
        <v>0.33333333333333326</v>
      </c>
      <c r="J49" s="57">
        <v>237</v>
      </c>
      <c r="K49">
        <v>5</v>
      </c>
      <c r="L49" s="48">
        <v>600000</v>
      </c>
      <c r="M49">
        <v>550</v>
      </c>
      <c r="N49" s="48">
        <v>2500000</v>
      </c>
      <c r="O49" s="47">
        <v>1000000000000000</v>
      </c>
      <c r="P49" s="75">
        <f>0.58*5+1.94*12</f>
        <v>26.18</v>
      </c>
      <c r="Q49" s="5">
        <v>7.8</v>
      </c>
      <c r="R49" s="51">
        <v>5</v>
      </c>
      <c r="S49" s="76">
        <v>0.8</v>
      </c>
      <c r="T49" s="71">
        <v>373.25</v>
      </c>
      <c r="U49" s="10">
        <f>Table5[[#This Row],[Cost]]/Table5[[#This Row],[SizTB]]</f>
        <v>37.325000000000003</v>
      </c>
      <c r="V49" s="11">
        <f>Table5[[#This Row],[Cost]]+((CompareWarrYrs-Table5[[#This Row],[Warnty]])*(Incremental_Warr_Yr*Table5[[#This Row],[Cost]]))</f>
        <v>373.25</v>
      </c>
      <c r="W49" s="6">
        <f>Table5[[#This Row],[$+Warr]]/Table5[[#This Row],[SizTB]]</f>
        <v>37.325000000000003</v>
      </c>
      <c r="X49" s="10">
        <f>Table5[[#This Row],[$PerTB]]/CompareWarrYrs</f>
        <v>7.4650000000000007</v>
      </c>
      <c r="Y49" s="7"/>
      <c r="Z49" s="59">
        <f>(((Table5[[#This Row],[Watts Active]]*Power_On_Hours_Year/1000)*Active_Duty_Cycle)+((Table5[[#This Row],[Watts Idle]]*Power_On_Hours_Year/1000)*(100%-Active_Duty_Cycle)))*CostPerKWH</f>
        <v>6.0922032000000002</v>
      </c>
      <c r="AA49" s="60">
        <f>Table5[[#This Row],[Energy$year]]/Table5[[#This Row],[SizTB]]</f>
        <v>0.60922032000000004</v>
      </c>
      <c r="AB49" s="52" t="s">
        <v>43</v>
      </c>
    </row>
    <row r="50" spans="1:28">
      <c r="A50" s="1">
        <v>42981</v>
      </c>
      <c r="B50" t="s">
        <v>10</v>
      </c>
      <c r="C50" s="129" t="s">
        <v>81</v>
      </c>
      <c r="D50" s="38" t="s">
        <v>60</v>
      </c>
      <c r="E50" s="120">
        <v>12</v>
      </c>
      <c r="F50" s="54">
        <v>7200</v>
      </c>
      <c r="G50" s="5">
        <v>4.16</v>
      </c>
      <c r="H50" s="5"/>
      <c r="I50" s="87">
        <f>(Table5[[#This Row],[RPM]]/5400-1)</f>
        <v>0.33333333333333326</v>
      </c>
      <c r="J50" s="57">
        <v>261</v>
      </c>
      <c r="K50">
        <v>5</v>
      </c>
      <c r="L50" s="48">
        <v>600000</v>
      </c>
      <c r="M50">
        <v>550</v>
      </c>
      <c r="N50" s="48">
        <v>2500000</v>
      </c>
      <c r="O50" s="47">
        <v>1000000000000000</v>
      </c>
      <c r="P50" s="75">
        <f>0.914*5+1.729*12</f>
        <v>25.318000000000001</v>
      </c>
      <c r="Q50" s="5">
        <v>7.8</v>
      </c>
      <c r="R50" s="51">
        <v>5</v>
      </c>
      <c r="S50" s="76">
        <v>1.1499999999999999</v>
      </c>
      <c r="T50" s="71">
        <v>527</v>
      </c>
      <c r="U50" s="10">
        <f>Table5[[#This Row],[Cost]]/Table5[[#This Row],[SizTB]]</f>
        <v>43.916666666666664</v>
      </c>
      <c r="V50" s="11">
        <f>Table5[[#This Row],[Cost]]+((CompareWarrYrs-Table5[[#This Row],[Warnty]])*(Incremental_Warr_Yr*Table5[[#This Row],[Cost]]))</f>
        <v>527</v>
      </c>
      <c r="W50" s="6">
        <f>Table5[[#This Row],[$+Warr]]/Table5[[#This Row],[SizTB]]</f>
        <v>43.916666666666664</v>
      </c>
      <c r="X50" s="10">
        <f>Table5[[#This Row],[$PerTB]]/CompareWarrYrs</f>
        <v>8.7833333333333332</v>
      </c>
      <c r="Y50" s="7"/>
      <c r="Z50" s="59">
        <f>(((Table5[[#This Row],[Watts Active]]*Power_On_Hours_Year/1000)*Active_Duty_Cycle)+((Table5[[#This Row],[Watts Idle]]*Power_On_Hours_Year/1000)*(100%-Active_Duty_Cycle)))*CostPerKWH</f>
        <v>6.0922032000000002</v>
      </c>
      <c r="AA50" s="60">
        <f>Table5[[#This Row],[Energy$year]]/Table5[[#This Row],[SizTB]]</f>
        <v>0.50768360000000001</v>
      </c>
      <c r="AB50" s="52" t="s">
        <v>43</v>
      </c>
    </row>
    <row r="51" spans="1:28">
      <c r="A51" s="1">
        <v>43005</v>
      </c>
      <c r="B51" t="s">
        <v>10</v>
      </c>
      <c r="C51" s="129" t="s">
        <v>80</v>
      </c>
      <c r="D51" s="38" t="s">
        <v>60</v>
      </c>
      <c r="E51" s="120">
        <v>1</v>
      </c>
      <c r="F51" s="54">
        <v>7200</v>
      </c>
      <c r="G51" s="5">
        <v>4.16</v>
      </c>
      <c r="H51" s="5"/>
      <c r="I51" s="87">
        <f>(Table5[[#This Row],[RPM]]/5400-1)</f>
        <v>0.33333333333333326</v>
      </c>
      <c r="J51" s="57">
        <v>130</v>
      </c>
      <c r="K51">
        <v>5</v>
      </c>
      <c r="L51" s="48">
        <v>300000</v>
      </c>
      <c r="M51">
        <v>550</v>
      </c>
      <c r="N51" s="48">
        <v>2000000</v>
      </c>
      <c r="O51" s="47">
        <v>1000000000000000</v>
      </c>
      <c r="P51" s="75">
        <f>0.5*5+0.7*12</f>
        <v>10.899999999999999</v>
      </c>
      <c r="Q51" s="5">
        <v>4.74</v>
      </c>
      <c r="R51" s="12">
        <v>3.51</v>
      </c>
      <c r="S51" s="76">
        <v>1.1399999999999999</v>
      </c>
      <c r="T51" s="71">
        <v>182.13</v>
      </c>
      <c r="U51" s="10">
        <f>Table5[[#This Row],[Cost]]/Table5[[#This Row],[SizTB]]</f>
        <v>182.13</v>
      </c>
      <c r="V51" s="11">
        <f>Table5[[#This Row],[Cost]]+((CompareWarrYrs-Table5[[#This Row],[Warnty]])*(Incremental_Warr_Yr*Table5[[#This Row],[Cost]]))</f>
        <v>182.13</v>
      </c>
      <c r="W51" s="6">
        <f>Table5[[#This Row],[$+Warr]]/Table5[[#This Row],[SizTB]]</f>
        <v>182.13</v>
      </c>
      <c r="X51" s="10">
        <f>Table5[[#This Row],[$PerTB]]/CompareWarrYrs</f>
        <v>36.426000000000002</v>
      </c>
      <c r="Y51" s="7"/>
      <c r="Z51" s="59">
        <f>(((Table5[[#This Row],[Watts Active]]*Power_On_Hours_Year/1000)*Active_Duty_Cycle)+((Table5[[#This Row],[Watts Idle]]*Power_On_Hours_Year/1000)*(100%-Active_Duty_Cycle)))*CostPerKWH</f>
        <v>4.1155243199999996</v>
      </c>
      <c r="AA51" s="60">
        <f>Table5[[#This Row],[Energy$year]]/Table5[[#This Row],[SizTB]]</f>
        <v>4.1155243199999996</v>
      </c>
      <c r="AB51" s="52"/>
    </row>
    <row r="52" spans="1:28">
      <c r="A52" s="1">
        <v>43005</v>
      </c>
      <c r="B52" t="s">
        <v>10</v>
      </c>
      <c r="C52" s="129" t="s">
        <v>80</v>
      </c>
      <c r="D52" s="38" t="s">
        <v>60</v>
      </c>
      <c r="E52" s="120">
        <v>2</v>
      </c>
      <c r="F52" s="54">
        <v>7200</v>
      </c>
      <c r="G52" s="5">
        <v>4.16</v>
      </c>
      <c r="H52" s="5"/>
      <c r="I52" s="87">
        <f>(Table5[[#This Row],[RPM]]/5400-1)</f>
        <v>0.33333333333333326</v>
      </c>
      <c r="J52" s="57">
        <v>130</v>
      </c>
      <c r="K52">
        <v>5</v>
      </c>
      <c r="L52" s="48">
        <v>300000</v>
      </c>
      <c r="M52">
        <v>550</v>
      </c>
      <c r="N52" s="48">
        <v>2000000</v>
      </c>
      <c r="O52" s="47">
        <v>1000000000000000</v>
      </c>
      <c r="P52" s="75">
        <f>0.5*5+0.7*12</f>
        <v>10.899999999999999</v>
      </c>
      <c r="Q52" s="5">
        <v>5.98</v>
      </c>
      <c r="R52" s="12">
        <v>3.87</v>
      </c>
      <c r="S52" s="76">
        <v>1.1399999999999999</v>
      </c>
      <c r="T52" s="71">
        <v>329.99</v>
      </c>
      <c r="U52" s="10">
        <f>Table5[[#This Row],[Cost]]/Table5[[#This Row],[SizTB]]</f>
        <v>164.995</v>
      </c>
      <c r="V52" s="11">
        <f>Table5[[#This Row],[Cost]]+((CompareWarrYrs-Table5[[#This Row],[Warnty]])*(Incremental_Warr_Yr*Table5[[#This Row],[Cost]]))</f>
        <v>329.99</v>
      </c>
      <c r="W52" s="6">
        <f>Table5[[#This Row],[$+Warr]]/Table5[[#This Row],[SizTB]]</f>
        <v>164.995</v>
      </c>
      <c r="X52" s="10">
        <f>Table5[[#This Row],[$PerTB]]/CompareWarrYrs</f>
        <v>32.999000000000002</v>
      </c>
      <c r="Y52" s="7"/>
      <c r="Z52" s="59">
        <f>(((Table5[[#This Row],[Watts Active]]*Power_On_Hours_Year/1000)*Active_Duty_Cycle)+((Table5[[#This Row],[Watts Idle]]*Power_On_Hours_Year/1000)*(100%-Active_Duty_Cycle)))*CostPerKWH</f>
        <v>4.7028302400000008</v>
      </c>
      <c r="AA52" s="60">
        <f>Table5[[#This Row],[Energy$year]]/Table5[[#This Row],[SizTB]]</f>
        <v>2.3514151200000004</v>
      </c>
      <c r="AB52" s="52"/>
    </row>
    <row r="53" spans="1:28">
      <c r="A53" s="1">
        <v>43005</v>
      </c>
      <c r="B53" t="s">
        <v>10</v>
      </c>
      <c r="C53" s="129" t="s">
        <v>50</v>
      </c>
      <c r="D53" s="38"/>
      <c r="E53" s="120">
        <v>1</v>
      </c>
      <c r="F53" s="54">
        <v>7200</v>
      </c>
      <c r="G53" s="5"/>
      <c r="H53" s="5"/>
      <c r="I53" s="87">
        <f>(Table5[[#This Row],[RPM]]/5400-1)</f>
        <v>0.33333333333333326</v>
      </c>
      <c r="J53" s="57"/>
      <c r="K53">
        <v>5</v>
      </c>
      <c r="L53" s="48"/>
      <c r="N53" s="48"/>
      <c r="O53" s="47"/>
      <c r="P53" s="75">
        <v>24</v>
      </c>
      <c r="Q53" s="5">
        <v>5.9</v>
      </c>
      <c r="R53" s="5">
        <v>4.5</v>
      </c>
      <c r="S53" s="76">
        <v>0.63</v>
      </c>
      <c r="T53" s="71">
        <v>75.989999999999995</v>
      </c>
      <c r="U53" s="10">
        <f>Table5[[#This Row],[Cost]]/Table5[[#This Row],[SizTB]]</f>
        <v>75.989999999999995</v>
      </c>
      <c r="V53" s="11">
        <f>Table5[[#This Row],[Cost]]+((CompareWarrYrs-Table5[[#This Row],[Warnty]])*(Incremental_Warr_Yr*Table5[[#This Row],[Cost]]))</f>
        <v>75.989999999999995</v>
      </c>
      <c r="W53" s="6">
        <f>Table5[[#This Row],[$+Warr]]/Table5[[#This Row],[SizTB]]</f>
        <v>75.989999999999995</v>
      </c>
      <c r="X53" s="10">
        <f>Table5[[#This Row],[$PerTB]]/CompareWarrYrs</f>
        <v>15.197999999999999</v>
      </c>
      <c r="Y53" s="7"/>
      <c r="Z53" s="59">
        <f>(((Table5[[#This Row],[Watts Active]]*Power_On_Hours_Year/1000)*Active_Duty_Cycle)+((Table5[[#This Row],[Watts Idle]]*Power_On_Hours_Year/1000)*(100%-Active_Duty_Cycle)))*CostPerKWH</f>
        <v>5.2375416000000001</v>
      </c>
      <c r="AA53" s="60">
        <f>Table5[[#This Row],[Energy$year]]/Table5[[#This Row],[SizTB]]</f>
        <v>5.2375416000000001</v>
      </c>
      <c r="AB53" s="52" t="s">
        <v>51</v>
      </c>
    </row>
    <row r="54" spans="1:28">
      <c r="A54" s="1">
        <v>43005</v>
      </c>
      <c r="B54" t="s">
        <v>10</v>
      </c>
      <c r="C54" s="129" t="s">
        <v>50</v>
      </c>
      <c r="D54" s="38"/>
      <c r="E54" s="120">
        <v>2</v>
      </c>
      <c r="F54" s="54">
        <v>7200</v>
      </c>
      <c r="G54" s="5"/>
      <c r="H54" s="5"/>
      <c r="I54" s="87">
        <f>(Table5[[#This Row],[RPM]]/5400-1)</f>
        <v>0.33333333333333326</v>
      </c>
      <c r="J54" s="57"/>
      <c r="K54">
        <v>5</v>
      </c>
      <c r="L54" s="48"/>
      <c r="N54" s="48"/>
      <c r="O54" s="47"/>
      <c r="P54" s="75">
        <v>24</v>
      </c>
      <c r="Q54" s="5">
        <v>6.7</v>
      </c>
      <c r="R54" s="5">
        <v>3.36</v>
      </c>
      <c r="S54" s="76">
        <v>0.75</v>
      </c>
      <c r="T54" s="71">
        <v>99.99</v>
      </c>
      <c r="U54" s="10">
        <f>Table5[[#This Row],[Cost]]/Table5[[#This Row],[SizTB]]</f>
        <v>49.994999999999997</v>
      </c>
      <c r="V54" s="11">
        <f>Table5[[#This Row],[Cost]]+((CompareWarrYrs-Table5[[#This Row],[Warnty]])*(Incremental_Warr_Yr*Table5[[#This Row],[Cost]]))</f>
        <v>99.99</v>
      </c>
      <c r="W54" s="6">
        <f>Table5[[#This Row],[$+Warr]]/Table5[[#This Row],[SizTB]]</f>
        <v>49.994999999999997</v>
      </c>
      <c r="X54" s="10">
        <f>Table5[[#This Row],[$PerTB]]/CompareWarrYrs</f>
        <v>9.9989999999999988</v>
      </c>
      <c r="Y54" s="7"/>
      <c r="Z54" s="59">
        <f>(((Table5[[#This Row],[Watts Active]]*Power_On_Hours_Year/1000)*Active_Duty_Cycle)+((Table5[[#This Row],[Watts Idle]]*Power_On_Hours_Year/1000)*(100%-Active_Duty_Cycle)))*CostPerKWH</f>
        <v>4.4135601600000003</v>
      </c>
      <c r="AA54" s="60">
        <f>Table5[[#This Row],[Energy$year]]/Table5[[#This Row],[SizTB]]</f>
        <v>2.2067800800000001</v>
      </c>
      <c r="AB54" s="52" t="s">
        <v>51</v>
      </c>
    </row>
    <row r="55" spans="1:28">
      <c r="A55" s="1">
        <v>43005</v>
      </c>
      <c r="B55" t="s">
        <v>10</v>
      </c>
      <c r="C55" s="129" t="s">
        <v>52</v>
      </c>
      <c r="D55" s="38"/>
      <c r="E55" s="120">
        <v>1</v>
      </c>
      <c r="F55" s="54">
        <v>5400</v>
      </c>
      <c r="G55" s="5"/>
      <c r="H55" s="5"/>
      <c r="I55" s="87">
        <f>(Table5[[#This Row],[RPM]]/5400-1)</f>
        <v>0</v>
      </c>
      <c r="J55" s="57"/>
      <c r="K55">
        <v>5</v>
      </c>
      <c r="L55" s="48"/>
      <c r="N55" s="48"/>
      <c r="O55" s="47"/>
      <c r="P55" s="75">
        <v>5</v>
      </c>
      <c r="Q55" s="5">
        <v>1.7</v>
      </c>
      <c r="R55" s="5">
        <v>1.45</v>
      </c>
      <c r="S55" s="76"/>
      <c r="T55" s="71">
        <v>62.99</v>
      </c>
      <c r="U55" s="10">
        <f>Table5[[#This Row],[Cost]]/Table5[[#This Row],[SizTB]]</f>
        <v>62.99</v>
      </c>
      <c r="V55" s="11">
        <f>Table5[[#This Row],[Cost]]+((CompareWarrYrs-Table5[[#This Row],[Warnty]])*(Incremental_Warr_Yr*Table5[[#This Row],[Cost]]))</f>
        <v>62.99</v>
      </c>
      <c r="W55" s="6">
        <f>Table5[[#This Row],[$+Warr]]/Table5[[#This Row],[SizTB]]</f>
        <v>62.99</v>
      </c>
      <c r="X55" s="10">
        <f>Table5[[#This Row],[$PerTB]]/CompareWarrYrs</f>
        <v>12.598000000000001</v>
      </c>
      <c r="Y55" s="7"/>
      <c r="Z55" s="59">
        <f>(((Table5[[#This Row],[Watts Active]]*Power_On_Hours_Year/1000)*Active_Duty_Cycle)+((Table5[[#This Row],[Watts Idle]]*Power_On_Hours_Year/1000)*(100%-Active_Duty_Cycle)))*CostPerKWH</f>
        <v>1.64358</v>
      </c>
      <c r="AA55" s="60">
        <f>Table5[[#This Row],[Energy$year]]/Table5[[#This Row],[SizTB]]</f>
        <v>1.64358</v>
      </c>
      <c r="AB55" s="52" t="s">
        <v>51</v>
      </c>
    </row>
    <row r="56" spans="1:28">
      <c r="A56" s="1">
        <v>43005</v>
      </c>
      <c r="B56" t="s">
        <v>10</v>
      </c>
      <c r="C56" s="129" t="s">
        <v>52</v>
      </c>
      <c r="D56" s="38"/>
      <c r="E56" s="120">
        <v>2</v>
      </c>
      <c r="F56" s="54">
        <v>5400</v>
      </c>
      <c r="G56" s="5"/>
      <c r="H56" s="5"/>
      <c r="I56" s="87">
        <f>(Table5[[#This Row],[RPM]]/5400-1)</f>
        <v>0</v>
      </c>
      <c r="J56" s="57"/>
      <c r="K56">
        <v>5</v>
      </c>
      <c r="L56" s="48"/>
      <c r="N56" s="48"/>
      <c r="O56" s="47"/>
      <c r="P56" s="75">
        <v>5</v>
      </c>
      <c r="Q56" s="5">
        <v>1.8</v>
      </c>
      <c r="R56" s="5">
        <v>1.5</v>
      </c>
      <c r="S56" s="76"/>
      <c r="T56" s="71">
        <v>89.99</v>
      </c>
      <c r="U56" s="10">
        <f>Table5[[#This Row],[Cost]]/Table5[[#This Row],[SizTB]]</f>
        <v>44.994999999999997</v>
      </c>
      <c r="V56" s="11">
        <f>Table5[[#This Row],[Cost]]+((CompareWarrYrs-Table5[[#This Row],[Warnty]])*(Incremental_Warr_Yr*Table5[[#This Row],[Cost]]))</f>
        <v>89.99</v>
      </c>
      <c r="W56" s="6">
        <f>Table5[[#This Row],[$+Warr]]/Table5[[#This Row],[SizTB]]</f>
        <v>44.994999999999997</v>
      </c>
      <c r="X56" s="10">
        <f>Table5[[#This Row],[$PerTB]]/CompareWarrYrs</f>
        <v>8.9989999999999988</v>
      </c>
      <c r="Y56" s="7"/>
      <c r="Z56" s="59">
        <f>(((Table5[[#This Row],[Watts Active]]*Power_On_Hours_Year/1000)*Active_Duty_Cycle)+((Table5[[#This Row],[Watts Idle]]*Power_On_Hours_Year/1000)*(100%-Active_Duty_Cycle)))*CostPerKWH</f>
        <v>1.7093232</v>
      </c>
      <c r="AA56" s="60">
        <f>Table5[[#This Row],[Energy$year]]/Table5[[#This Row],[SizTB]]</f>
        <v>0.85466160000000002</v>
      </c>
      <c r="AB56" s="52" t="s">
        <v>51</v>
      </c>
    </row>
    <row r="57" spans="1:28">
      <c r="A57" s="1">
        <v>43005</v>
      </c>
      <c r="B57" t="s">
        <v>10</v>
      </c>
      <c r="C57" s="129" t="s">
        <v>13</v>
      </c>
      <c r="D57" s="38" t="s">
        <v>60</v>
      </c>
      <c r="E57" s="120">
        <v>1</v>
      </c>
      <c r="F57" s="54">
        <v>5900</v>
      </c>
      <c r="G57" s="5">
        <v>5.0999999999999996</v>
      </c>
      <c r="H57" s="5">
        <v>11.99</v>
      </c>
      <c r="I57" s="87">
        <f>(Table5[[#This Row],[RPM]]/5400-1)</f>
        <v>9.259259259259256E-2</v>
      </c>
      <c r="J57" s="57">
        <v>180</v>
      </c>
      <c r="K57">
        <v>3</v>
      </c>
      <c r="L57" s="48">
        <v>600000</v>
      </c>
      <c r="M57">
        <v>180</v>
      </c>
      <c r="N57" s="48">
        <v>1000000</v>
      </c>
      <c r="O57" s="47">
        <f t="shared" ref="O57:O60" si="5">10^14</f>
        <v>100000000000000</v>
      </c>
      <c r="P57" s="75">
        <f>12*1.2</f>
        <v>14.399999999999999</v>
      </c>
      <c r="Q57" s="5">
        <v>3.76</v>
      </c>
      <c r="R57" s="5">
        <v>2.5</v>
      </c>
      <c r="S57" s="76">
        <v>0.8</v>
      </c>
      <c r="T57" s="71">
        <v>62.99</v>
      </c>
      <c r="U57" s="10">
        <f>Table5[[#This Row],[Cost]]/Table5[[#This Row],[SizTB]]</f>
        <v>62.99</v>
      </c>
      <c r="V57" s="11">
        <f>Table5[[#This Row],[Cost]]+((CompareWarrYrs-Table5[[#This Row],[Warnty]])*(Incremental_Warr_Yr*Table5[[#This Row],[Cost]]))</f>
        <v>76.847800000000007</v>
      </c>
      <c r="W57" s="6">
        <f>Table5[[#This Row],[$+Warr]]/Table5[[#This Row],[SizTB]]</f>
        <v>76.847800000000007</v>
      </c>
      <c r="X57" s="10">
        <f>Table5[[#This Row],[$PerTB]]/CompareWarrYrs</f>
        <v>15.369560000000002</v>
      </c>
      <c r="Y57" s="7"/>
      <c r="Z57" s="59">
        <f>(((Table5[[#This Row],[Watts Active]]*Power_On_Hours_Year/1000)*Active_Duty_Cycle)+((Table5[[#This Row],[Watts Idle]]*Power_On_Hours_Year/1000)*(100%-Active_Duty_Cycle)))*CostPerKWH</f>
        <v>3.0154214399999999</v>
      </c>
      <c r="AA57" s="60">
        <f>Table5[[#This Row],[Energy$year]]/Table5[[#This Row],[SizTB]]</f>
        <v>3.0154214399999999</v>
      </c>
      <c r="AB57" s="52" t="s">
        <v>51</v>
      </c>
    </row>
    <row r="58" spans="1:28">
      <c r="A58" s="1">
        <v>42997</v>
      </c>
      <c r="B58" t="s">
        <v>10</v>
      </c>
      <c r="C58" s="129" t="s">
        <v>13</v>
      </c>
      <c r="D58" s="38" t="s">
        <v>60</v>
      </c>
      <c r="E58" s="120">
        <v>2</v>
      </c>
      <c r="F58" s="54">
        <v>5900</v>
      </c>
      <c r="G58" s="5">
        <v>5.0999999999999996</v>
      </c>
      <c r="H58" s="5">
        <v>11.99</v>
      </c>
      <c r="I58" s="87">
        <f>(Table5[[#This Row],[RPM]]/5400-1)</f>
        <v>9.259259259259256E-2</v>
      </c>
      <c r="J58" s="57">
        <v>180</v>
      </c>
      <c r="K58">
        <v>3</v>
      </c>
      <c r="L58" s="48">
        <v>600000</v>
      </c>
      <c r="M58">
        <v>180</v>
      </c>
      <c r="N58" s="48">
        <v>1000000</v>
      </c>
      <c r="O58" s="47">
        <f t="shared" si="5"/>
        <v>100000000000000</v>
      </c>
      <c r="P58" s="75">
        <f>12*2</f>
        <v>24</v>
      </c>
      <c r="Q58" s="5">
        <v>4.3</v>
      </c>
      <c r="R58" s="5">
        <v>3.56</v>
      </c>
      <c r="S58" s="76">
        <v>0.8</v>
      </c>
      <c r="T58" s="71">
        <v>84.99</v>
      </c>
      <c r="U58" s="10">
        <f>Table5[[#This Row],[Cost]]/Table5[[#This Row],[SizTB]]</f>
        <v>42.494999999999997</v>
      </c>
      <c r="V58" s="11">
        <f>Table5[[#This Row],[Cost]]+((CompareWarrYrs-Table5[[#This Row],[Warnty]])*(Incremental_Warr_Yr*Table5[[#This Row],[Cost]]))</f>
        <v>103.6878</v>
      </c>
      <c r="W58" s="6">
        <f>Table5[[#This Row],[$+Warr]]/Table5[[#This Row],[SizTB]]</f>
        <v>51.843899999999998</v>
      </c>
      <c r="X58" s="10">
        <f>Table5[[#This Row],[$PerTB]]/CompareWarrYrs</f>
        <v>10.368779999999999</v>
      </c>
      <c r="Y58" s="7"/>
      <c r="Z58" s="59">
        <f>(((Table5[[#This Row],[Watts Active]]*Power_On_Hours_Year/1000)*Active_Duty_Cycle)+((Table5[[#This Row],[Watts Idle]]*Power_On_Hours_Year/1000)*(100%-Active_Duty_Cycle)))*CostPerKWH</f>
        <v>4.0629297600000003</v>
      </c>
      <c r="AA58" s="60">
        <f>Table5[[#This Row],[Energy$year]]/Table5[[#This Row],[SizTB]]</f>
        <v>2.0314648800000001</v>
      </c>
      <c r="AB58" s="52"/>
    </row>
    <row r="59" spans="1:28">
      <c r="A59" s="1">
        <v>42997</v>
      </c>
      <c r="B59" t="s">
        <v>10</v>
      </c>
      <c r="C59" s="129" t="s">
        <v>13</v>
      </c>
      <c r="D59" s="38" t="s">
        <v>60</v>
      </c>
      <c r="E59" s="120">
        <v>3</v>
      </c>
      <c r="F59" s="54">
        <v>5900</v>
      </c>
      <c r="G59" s="5">
        <v>5.0999999999999996</v>
      </c>
      <c r="H59" s="5">
        <v>11.99</v>
      </c>
      <c r="I59" s="87">
        <f>(Table5[[#This Row],[RPM]]/5400-1)</f>
        <v>9.259259259259256E-2</v>
      </c>
      <c r="J59" s="57">
        <v>180</v>
      </c>
      <c r="K59">
        <v>3</v>
      </c>
      <c r="L59" s="48">
        <v>600000</v>
      </c>
      <c r="M59">
        <v>180</v>
      </c>
      <c r="N59" s="48">
        <v>1000000</v>
      </c>
      <c r="O59" s="47">
        <f t="shared" si="5"/>
        <v>100000000000000</v>
      </c>
      <c r="P59" s="75">
        <f>12*2</f>
        <v>24</v>
      </c>
      <c r="Q59" s="5">
        <v>4.8</v>
      </c>
      <c r="R59" s="5">
        <v>4.8</v>
      </c>
      <c r="S59" s="76">
        <v>0.6</v>
      </c>
      <c r="T59" s="71">
        <v>107.99</v>
      </c>
      <c r="U59" s="10">
        <f>Table5[[#This Row],[Cost]]/Table5[[#This Row],[SizTB]]</f>
        <v>35.996666666666663</v>
      </c>
      <c r="V59" s="11">
        <f>Table5[[#This Row],[Cost]]+((CompareWarrYrs-Table5[[#This Row],[Warnty]])*(Incremental_Warr_Yr*Table5[[#This Row],[Cost]]))</f>
        <v>131.74779999999998</v>
      </c>
      <c r="W59" s="6">
        <f>Table5[[#This Row],[$+Warr]]/Table5[[#This Row],[SizTB]]</f>
        <v>43.915933333333328</v>
      </c>
      <c r="X59" s="10">
        <f>Table5[[#This Row],[$PerTB]]/CompareWarrYrs</f>
        <v>8.7831866666666656</v>
      </c>
      <c r="Y59" s="7"/>
      <c r="Z59" s="59">
        <f>(((Table5[[#This Row],[Watts Active]]*Power_On_Hours_Year/1000)*Active_Duty_Cycle)+((Table5[[#This Row],[Watts Idle]]*Power_On_Hours_Year/1000)*(100%-Active_Duty_Cycle)))*CostPerKWH</f>
        <v>5.2594560000000001</v>
      </c>
      <c r="AA59" s="60">
        <f>Table5[[#This Row],[Energy$year]]/Table5[[#This Row],[SizTB]]</f>
        <v>1.753152</v>
      </c>
      <c r="AB59" s="52"/>
    </row>
    <row r="60" spans="1:28">
      <c r="A60" s="1">
        <v>42997</v>
      </c>
      <c r="B60" t="s">
        <v>10</v>
      </c>
      <c r="C60" s="129" t="s">
        <v>13</v>
      </c>
      <c r="D60" s="38" t="s">
        <v>60</v>
      </c>
      <c r="E60" s="120">
        <v>4</v>
      </c>
      <c r="F60" s="54">
        <v>5900</v>
      </c>
      <c r="G60" s="5">
        <v>5.0999999999999996</v>
      </c>
      <c r="H60" s="5">
        <v>9.5</v>
      </c>
      <c r="I60" s="87">
        <f>(Table5[[#This Row],[RPM]]/5400-1)</f>
        <v>9.259259259259256E-2</v>
      </c>
      <c r="J60" s="57">
        <v>180</v>
      </c>
      <c r="K60">
        <v>3</v>
      </c>
      <c r="L60" s="48">
        <v>600000</v>
      </c>
      <c r="M60">
        <v>180</v>
      </c>
      <c r="N60" s="48">
        <v>1000000</v>
      </c>
      <c r="O60" s="47">
        <f t="shared" si="5"/>
        <v>100000000000000</v>
      </c>
      <c r="P60" s="75">
        <f t="shared" ref="P60:P62" si="6">12*1.8</f>
        <v>21.6</v>
      </c>
      <c r="Q60" s="5">
        <v>4.8</v>
      </c>
      <c r="R60" s="5">
        <v>3.95</v>
      </c>
      <c r="S60" s="76">
        <v>0.5</v>
      </c>
      <c r="T60" s="71">
        <f>229.99/2</f>
        <v>114.995</v>
      </c>
      <c r="U60" s="10">
        <f>Table5[[#This Row],[Cost]]/Table5[[#This Row],[SizTB]]</f>
        <v>28.748750000000001</v>
      </c>
      <c r="V60" s="11">
        <f>Table5[[#This Row],[Cost]]+((CompareWarrYrs-Table5[[#This Row],[Warnty]])*(Incremental_Warr_Yr*Table5[[#This Row],[Cost]]))</f>
        <v>140.29390000000001</v>
      </c>
      <c r="W60" s="6">
        <f>Table5[[#This Row],[$+Warr]]/Table5[[#This Row],[SizTB]]</f>
        <v>35.073475000000002</v>
      </c>
      <c r="X60" s="10">
        <f>Table5[[#This Row],[$PerTB]]/CompareWarrYrs</f>
        <v>7.0146950000000006</v>
      </c>
      <c r="Y60" s="7"/>
      <c r="Z60" s="59">
        <f>(((Table5[[#This Row],[Watts Active]]*Power_On_Hours_Year/1000)*Active_Duty_Cycle)+((Table5[[#This Row],[Watts Idle]]*Power_On_Hours_Year/1000)*(100%-Active_Duty_Cycle)))*CostPerKWH</f>
        <v>4.5143664000000001</v>
      </c>
      <c r="AA60" s="60">
        <f>Table5[[#This Row],[Energy$year]]/Table5[[#This Row],[SizTB]]</f>
        <v>1.1285916</v>
      </c>
      <c r="AB60" s="52"/>
    </row>
    <row r="61" spans="1:28">
      <c r="A61" s="1">
        <v>42997</v>
      </c>
      <c r="B61" t="s">
        <v>10</v>
      </c>
      <c r="C61" s="129" t="s">
        <v>13</v>
      </c>
      <c r="D61" s="38" t="s">
        <v>60</v>
      </c>
      <c r="E61" s="120">
        <v>6</v>
      </c>
      <c r="F61" s="54">
        <v>7200</v>
      </c>
      <c r="G61" s="5">
        <v>4</v>
      </c>
      <c r="H61" s="5">
        <v>9.5</v>
      </c>
      <c r="I61" s="87">
        <f>(Table5[[#This Row],[RPM]]/5400-1)</f>
        <v>0.33333333333333326</v>
      </c>
      <c r="J61" s="57">
        <v>210</v>
      </c>
      <c r="K61">
        <v>3</v>
      </c>
      <c r="L61" s="48">
        <v>600000</v>
      </c>
      <c r="M61">
        <v>180</v>
      </c>
      <c r="N61" s="48">
        <v>1000000</v>
      </c>
      <c r="O61" s="47">
        <v>1000000000000000</v>
      </c>
      <c r="P61" s="75">
        <f t="shared" si="6"/>
        <v>21.6</v>
      </c>
      <c r="Q61" s="5">
        <v>8.1</v>
      </c>
      <c r="R61" s="5">
        <v>7.2</v>
      </c>
      <c r="S61" s="76">
        <v>0.6</v>
      </c>
      <c r="T61" s="71">
        <f>369.99/2</f>
        <v>184.995</v>
      </c>
      <c r="U61" s="10">
        <f>Table5[[#This Row],[Cost]]/Table5[[#This Row],[SizTB]]</f>
        <v>30.8325</v>
      </c>
      <c r="V61" s="11">
        <f>Table5[[#This Row],[Cost]]+((CompareWarrYrs-Table5[[#This Row],[Warnty]])*(Incremental_Warr_Yr*Table5[[#This Row],[Cost]]))</f>
        <v>225.69390000000001</v>
      </c>
      <c r="W61" s="6">
        <f>Table5[[#This Row],[$+Warr]]/Table5[[#This Row],[SizTB]]</f>
        <v>37.615650000000002</v>
      </c>
      <c r="X61" s="10">
        <f>Table5[[#This Row],[$PerTB]]/CompareWarrYrs</f>
        <v>7.5231300000000001</v>
      </c>
      <c r="Y61" s="7"/>
      <c r="Z61" s="59">
        <f>(((Table5[[#This Row],[Watts Active]]*Power_On_Hours_Year/1000)*Active_Duty_Cycle)+((Table5[[#This Row],[Watts Idle]]*Power_On_Hours_Year/1000)*(100%-Active_Duty_Cycle)))*CostPerKWH</f>
        <v>8.0864136000000002</v>
      </c>
      <c r="AA61" s="60">
        <f>Table5[[#This Row],[Energy$year]]/Table5[[#This Row],[SizTB]]</f>
        <v>1.3477356</v>
      </c>
      <c r="AB61" s="52"/>
    </row>
    <row r="62" spans="1:28">
      <c r="A62" s="1">
        <v>42997</v>
      </c>
      <c r="B62" t="s">
        <v>10</v>
      </c>
      <c r="C62" s="129" t="s">
        <v>13</v>
      </c>
      <c r="D62" s="38" t="s">
        <v>60</v>
      </c>
      <c r="E62" s="120">
        <v>8</v>
      </c>
      <c r="F62" s="54">
        <v>7200</v>
      </c>
      <c r="G62" s="5">
        <v>4</v>
      </c>
      <c r="H62" s="5">
        <v>9.5</v>
      </c>
      <c r="I62" s="87">
        <f>(Table5[[#This Row],[RPM]]/5400-1)</f>
        <v>0.33333333333333326</v>
      </c>
      <c r="J62" s="57">
        <v>210</v>
      </c>
      <c r="K62">
        <v>3</v>
      </c>
      <c r="L62" s="48">
        <v>600000</v>
      </c>
      <c r="M62">
        <v>180</v>
      </c>
      <c r="N62" s="48">
        <v>1000000</v>
      </c>
      <c r="O62" s="47">
        <v>1000000000000000</v>
      </c>
      <c r="P62" s="75">
        <f t="shared" si="6"/>
        <v>21.6</v>
      </c>
      <c r="Q62" s="5">
        <v>8.8000000000000007</v>
      </c>
      <c r="R62" s="5">
        <v>7.6</v>
      </c>
      <c r="S62" s="76">
        <v>0.6</v>
      </c>
      <c r="T62" s="71">
        <f>469.99/2</f>
        <v>234.995</v>
      </c>
      <c r="U62" s="10">
        <f>Table5[[#This Row],[Cost]]/Table5[[#This Row],[SizTB]]</f>
        <v>29.374375000000001</v>
      </c>
      <c r="V62" s="11">
        <f>Table5[[#This Row],[Cost]]+((CompareWarrYrs-Table5[[#This Row],[Warnty]])*(Incremental_Warr_Yr*Table5[[#This Row],[Cost]]))</f>
        <v>286.69389999999999</v>
      </c>
      <c r="W62" s="6">
        <f>Table5[[#This Row],[$+Warr]]/Table5[[#This Row],[SizTB]]</f>
        <v>35.836737499999998</v>
      </c>
      <c r="X62" s="10">
        <f>Table5[[#This Row],[$PerTB]]/CompareWarrYrs</f>
        <v>7.1673475</v>
      </c>
      <c r="Y62" s="7"/>
      <c r="Z62" s="59">
        <f>(((Table5[[#This Row],[Watts Active]]*Power_On_Hours_Year/1000)*Active_Duty_Cycle)+((Table5[[#This Row],[Watts Idle]]*Power_On_Hours_Year/1000)*(100%-Active_Duty_Cycle)))*CostPerKWH</f>
        <v>8.5904448000000002</v>
      </c>
      <c r="AA62" s="60">
        <f>Table5[[#This Row],[Energy$year]]/Table5[[#This Row],[SizTB]]</f>
        <v>1.0738056</v>
      </c>
      <c r="AB62" s="52"/>
    </row>
    <row r="63" spans="1:28">
      <c r="A63" s="1">
        <v>42997</v>
      </c>
      <c r="B63" t="s">
        <v>10</v>
      </c>
      <c r="C63" s="129" t="s">
        <v>13</v>
      </c>
      <c r="D63" s="38" t="s">
        <v>60</v>
      </c>
      <c r="E63" s="120">
        <v>10</v>
      </c>
      <c r="F63" s="54">
        <v>7200</v>
      </c>
      <c r="G63" s="5"/>
      <c r="H63" s="5"/>
      <c r="I63" s="87">
        <f>(Table5[[#This Row],[RPM]]/5400-1)</f>
        <v>0.33333333333333326</v>
      </c>
      <c r="J63" s="57">
        <v>210</v>
      </c>
      <c r="K63">
        <v>3</v>
      </c>
      <c r="L63" s="48">
        <v>600000</v>
      </c>
      <c r="M63">
        <v>180</v>
      </c>
      <c r="N63" s="48">
        <v>1000000</v>
      </c>
      <c r="O63" s="47">
        <v>1000000000000000</v>
      </c>
      <c r="P63" s="75">
        <f>12*1.8</f>
        <v>21.6</v>
      </c>
      <c r="Q63" s="5">
        <v>7.8</v>
      </c>
      <c r="R63" s="5">
        <v>5</v>
      </c>
      <c r="S63" s="76">
        <v>0.8</v>
      </c>
      <c r="T63" s="71">
        <v>329.99</v>
      </c>
      <c r="U63" s="10">
        <f>Table5[[#This Row],[Cost]]/Table5[[#This Row],[SizTB]]</f>
        <v>32.999000000000002</v>
      </c>
      <c r="V63" s="11">
        <f>Table5[[#This Row],[Cost]]+((CompareWarrYrs-Table5[[#This Row],[Warnty]])*(Incremental_Warr_Yr*Table5[[#This Row],[Cost]]))</f>
        <v>402.58780000000002</v>
      </c>
      <c r="W63" s="6">
        <f>Table5[[#This Row],[$+Warr]]/Table5[[#This Row],[SizTB]]</f>
        <v>40.258780000000002</v>
      </c>
      <c r="X63" s="10">
        <f>Table5[[#This Row],[$PerTB]]/CompareWarrYrs</f>
        <v>8.051756000000001</v>
      </c>
      <c r="Y63" s="7"/>
      <c r="Z63" s="59">
        <f>(((Table5[[#This Row],[Watts Active]]*Power_On_Hours_Year/1000)*Active_Duty_Cycle)+((Table5[[#This Row],[Watts Idle]]*Power_On_Hours_Year/1000)*(100%-Active_Duty_Cycle)))*CostPerKWH</f>
        <v>6.0922032000000002</v>
      </c>
      <c r="AA63" s="60">
        <f>Table5[[#This Row],[Energy$year]]/Table5[[#This Row],[SizTB]]</f>
        <v>0.60922032000000004</v>
      </c>
      <c r="AB63" s="52"/>
    </row>
    <row r="64" spans="1:28">
      <c r="A64" s="1">
        <v>43007</v>
      </c>
      <c r="B64" t="s">
        <v>10</v>
      </c>
      <c r="C64" s="129" t="s">
        <v>17</v>
      </c>
      <c r="D64" s="38" t="s">
        <v>60</v>
      </c>
      <c r="E64" s="120">
        <v>2</v>
      </c>
      <c r="F64" s="54">
        <v>7200</v>
      </c>
      <c r="G64" s="5">
        <v>4.16</v>
      </c>
      <c r="H64" s="5"/>
      <c r="I64" s="87">
        <f>(Table5[[#This Row],[RPM]]/5400-1)</f>
        <v>0.33333333333333326</v>
      </c>
      <c r="J64" s="57">
        <v>195</v>
      </c>
      <c r="K64">
        <v>5</v>
      </c>
      <c r="L64" s="48"/>
      <c r="M64">
        <v>300</v>
      </c>
      <c r="N64" s="48">
        <v>1200000</v>
      </c>
      <c r="O64" s="47">
        <v>1000000000000000</v>
      </c>
      <c r="P64" s="75">
        <f>12*2</f>
        <v>24</v>
      </c>
      <c r="Q64" s="5">
        <v>6.5</v>
      </c>
      <c r="R64" s="5">
        <v>4.6100000000000003</v>
      </c>
      <c r="S64" s="76">
        <v>0.8</v>
      </c>
      <c r="T64" s="71">
        <v>144.99</v>
      </c>
      <c r="U64" s="10">
        <f>Table5[[#This Row],[Cost]]/Table5[[#This Row],[SizTB]]</f>
        <v>72.495000000000005</v>
      </c>
      <c r="V64" s="11">
        <f>Table5[[#This Row],[Cost]]+((CompareWarrYrs-Table5[[#This Row],[Warnty]])*(Incremental_Warr_Yr*Table5[[#This Row],[Cost]]))</f>
        <v>144.99</v>
      </c>
      <c r="W64" s="6">
        <f>Table5[[#This Row],[$+Warr]]/Table5[[#This Row],[SizTB]]</f>
        <v>72.495000000000005</v>
      </c>
      <c r="X64" s="10">
        <f>Table5[[#This Row],[$PerTB]]/CompareWarrYrs</f>
        <v>14.499000000000001</v>
      </c>
      <c r="Y64" s="7"/>
      <c r="Z64" s="59">
        <f>(((Table5[[#This Row],[Watts Active]]*Power_On_Hours_Year/1000)*Active_Duty_Cycle)+((Table5[[#This Row],[Watts Idle]]*Power_On_Hours_Year/1000)*(100%-Active_Duty_Cycle)))*CostPerKWH</f>
        <v>5.4654513600000012</v>
      </c>
      <c r="AA64" s="62">
        <f>Table5[[#This Row],[Energy$year]]/Table5[[#This Row],[SizTB]]</f>
        <v>2.7327256800000006</v>
      </c>
      <c r="AB64" s="52"/>
    </row>
    <row r="65" spans="1:28">
      <c r="A65" s="1">
        <v>42981</v>
      </c>
      <c r="B65" t="s">
        <v>10</v>
      </c>
      <c r="C65" s="129" t="s">
        <v>17</v>
      </c>
      <c r="D65" s="38" t="s">
        <v>60</v>
      </c>
      <c r="E65" s="120">
        <v>4</v>
      </c>
      <c r="F65" s="54">
        <v>7200</v>
      </c>
      <c r="G65" s="5">
        <v>4.16</v>
      </c>
      <c r="H65" s="5"/>
      <c r="I65" s="87">
        <f>(Table5[[#This Row],[RPM]]/5400-1)</f>
        <v>0.33333333333333326</v>
      </c>
      <c r="J65" s="57">
        <v>214</v>
      </c>
      <c r="K65">
        <v>5</v>
      </c>
      <c r="L65" s="48"/>
      <c r="M65">
        <v>300</v>
      </c>
      <c r="N65" s="48">
        <v>1200000</v>
      </c>
      <c r="O65" s="47">
        <v>1000000000000000</v>
      </c>
      <c r="P65" s="75">
        <f>12*2</f>
        <v>24</v>
      </c>
      <c r="Q65" s="5">
        <v>8.5</v>
      </c>
      <c r="R65" s="5">
        <v>5.45</v>
      </c>
      <c r="S65" s="76">
        <v>0.6</v>
      </c>
      <c r="T65" s="71">
        <v>192.76</v>
      </c>
      <c r="U65" s="10">
        <f>Table5[[#This Row],[Cost]]/Table5[[#This Row],[SizTB]]</f>
        <v>48.19</v>
      </c>
      <c r="V65" s="11">
        <f>Table5[[#This Row],[Cost]]+((CompareWarrYrs-Table5[[#This Row],[Warnty]])*(Incremental_Warr_Yr*Table5[[#This Row],[Cost]]))</f>
        <v>192.76</v>
      </c>
      <c r="W65" s="6">
        <f>Table5[[#This Row],[$+Warr]]/Table5[[#This Row],[SizTB]]</f>
        <v>48.19</v>
      </c>
      <c r="X65" s="10">
        <f>Table5[[#This Row],[$PerTB]]/CompareWarrYrs</f>
        <v>9.6379999999999999</v>
      </c>
      <c r="Y65" s="7"/>
      <c r="Z65" s="59">
        <f>(((Table5[[#This Row],[Watts Active]]*Power_On_Hours_Year/1000)*Active_Duty_Cycle)+((Table5[[#This Row],[Watts Idle]]*Power_On_Hours_Year/1000)*(100%-Active_Duty_Cycle)))*CostPerKWH</f>
        <v>6.6400632000000002</v>
      </c>
      <c r="AA65" s="62">
        <f>Table5[[#This Row],[Energy$year]]/Table5[[#This Row],[SizTB]]</f>
        <v>1.6600158</v>
      </c>
      <c r="AB65" s="52"/>
    </row>
    <row r="66" spans="1:28">
      <c r="A66" s="1">
        <v>42981</v>
      </c>
      <c r="B66" t="s">
        <v>10</v>
      </c>
      <c r="C66" s="129" t="s">
        <v>17</v>
      </c>
      <c r="D66" s="38" t="s">
        <v>60</v>
      </c>
      <c r="E66" s="120">
        <v>6</v>
      </c>
      <c r="F66" s="54">
        <v>7200</v>
      </c>
      <c r="G66" s="5">
        <v>4.16</v>
      </c>
      <c r="H66" s="5"/>
      <c r="I66" s="87">
        <f>(Table5[[#This Row],[RPM]]/5400-1)</f>
        <v>0.33333333333333326</v>
      </c>
      <c r="J66" s="57">
        <v>214</v>
      </c>
      <c r="K66">
        <v>5</v>
      </c>
      <c r="L66" s="48"/>
      <c r="M66">
        <v>300</v>
      </c>
      <c r="N66" s="48">
        <v>1200000</v>
      </c>
      <c r="O66" s="47">
        <v>1000000000000000</v>
      </c>
      <c r="P66" s="75">
        <f>12*2</f>
        <v>24</v>
      </c>
      <c r="Q66" s="5">
        <v>8.1</v>
      </c>
      <c r="R66" s="5">
        <v>7.5</v>
      </c>
      <c r="S66" s="76">
        <v>0.6</v>
      </c>
      <c r="T66" s="71">
        <v>269.99</v>
      </c>
      <c r="U66" s="10">
        <f>Table5[[#This Row],[Cost]]/Table5[[#This Row],[SizTB]]</f>
        <v>44.998333333333335</v>
      </c>
      <c r="V66" s="11">
        <f>Table5[[#This Row],[Cost]]+((CompareWarrYrs-Table5[[#This Row],[Warnty]])*(Incremental_Warr_Yr*Table5[[#This Row],[Cost]]))</f>
        <v>269.99</v>
      </c>
      <c r="W66" s="6">
        <f>Table5[[#This Row],[$+Warr]]/Table5[[#This Row],[SizTB]]</f>
        <v>44.998333333333335</v>
      </c>
      <c r="X66" s="10">
        <f>Table5[[#This Row],[$PerTB]]/CompareWarrYrs</f>
        <v>8.9996666666666663</v>
      </c>
      <c r="Y66" s="7"/>
      <c r="Z66" s="59">
        <f>(((Table5[[#This Row],[Watts Active]]*Power_On_Hours_Year/1000)*Active_Duty_Cycle)+((Table5[[#This Row],[Watts Idle]]*Power_On_Hours_Year/1000)*(100%-Active_Duty_Cycle)))*CostPerKWH</f>
        <v>8.3493864000000002</v>
      </c>
      <c r="AA66" s="62">
        <f>Table5[[#This Row],[Energy$year]]/Table5[[#This Row],[SizTB]]</f>
        <v>1.3915644</v>
      </c>
      <c r="AB66" s="52"/>
    </row>
    <row r="67" spans="1:28">
      <c r="A67" s="1">
        <v>42981</v>
      </c>
      <c r="B67" t="s">
        <v>10</v>
      </c>
      <c r="C67" s="129" t="s">
        <v>17</v>
      </c>
      <c r="D67" s="38" t="s">
        <v>60</v>
      </c>
      <c r="E67" s="120">
        <v>8</v>
      </c>
      <c r="F67" s="54">
        <v>7200</v>
      </c>
      <c r="G67" s="5">
        <v>4.16</v>
      </c>
      <c r="H67" s="5"/>
      <c r="I67" s="87">
        <f>(Table5[[#This Row],[RPM]]/5400-1)</f>
        <v>0.33333333333333326</v>
      </c>
      <c r="J67" s="57">
        <v>214</v>
      </c>
      <c r="K67">
        <v>5</v>
      </c>
      <c r="L67" s="48"/>
      <c r="M67">
        <v>300</v>
      </c>
      <c r="N67" s="48">
        <v>1200000</v>
      </c>
      <c r="O67" s="47">
        <v>1000000000000000</v>
      </c>
      <c r="P67" s="75">
        <f>12*2</f>
        <v>24</v>
      </c>
      <c r="Q67" s="5">
        <v>7.4</v>
      </c>
      <c r="R67" s="5">
        <v>4.4000000000000004</v>
      </c>
      <c r="S67" s="76">
        <v>0.8</v>
      </c>
      <c r="T67" s="71">
        <v>349.99</v>
      </c>
      <c r="U67" s="10">
        <f>Table5[[#This Row],[Cost]]/Table5[[#This Row],[SizTB]]</f>
        <v>43.748750000000001</v>
      </c>
      <c r="V67" s="11">
        <f>Table5[[#This Row],[Cost]]+((CompareWarrYrs-Table5[[#This Row],[Warnty]])*(Incremental_Warr_Yr*Table5[[#This Row],[Cost]]))</f>
        <v>349.99</v>
      </c>
      <c r="W67" s="6">
        <f>Table5[[#This Row],[$+Warr]]/Table5[[#This Row],[SizTB]]</f>
        <v>43.748750000000001</v>
      </c>
      <c r="X67" s="10">
        <f>Table5[[#This Row],[$PerTB]]/CompareWarrYrs</f>
        <v>8.7497500000000006</v>
      </c>
      <c r="Y67" s="7"/>
      <c r="Z67" s="59">
        <f>(((Table5[[#This Row],[Watts Active]]*Power_On_Hours_Year/1000)*Active_Duty_Cycle)+((Table5[[#This Row],[Watts Idle]]*Power_On_Hours_Year/1000)*(100%-Active_Duty_Cycle)))*CostPerKWH</f>
        <v>5.478600000000001</v>
      </c>
      <c r="AA67" s="62">
        <f>Table5[[#This Row],[Energy$year]]/Table5[[#This Row],[SizTB]]</f>
        <v>0.68482500000000013</v>
      </c>
      <c r="AB67" s="52"/>
    </row>
    <row r="68" spans="1:28">
      <c r="A68" s="1">
        <v>42981</v>
      </c>
      <c r="B68" t="s">
        <v>10</v>
      </c>
      <c r="C68" s="129" t="s">
        <v>17</v>
      </c>
      <c r="D68" s="38" t="s">
        <v>60</v>
      </c>
      <c r="E68" s="120">
        <v>10</v>
      </c>
      <c r="F68" s="54">
        <v>7200</v>
      </c>
      <c r="G68" s="5">
        <v>4.16</v>
      </c>
      <c r="H68" s="5"/>
      <c r="I68" s="87">
        <f>(Table5[[#This Row],[RPM]]/5400-1)</f>
        <v>0.33333333333333326</v>
      </c>
      <c r="J68" s="57">
        <v>214</v>
      </c>
      <c r="K68">
        <v>5</v>
      </c>
      <c r="L68" s="48"/>
      <c r="M68">
        <v>300</v>
      </c>
      <c r="N68" s="48">
        <v>1200000</v>
      </c>
      <c r="O68" s="47">
        <v>1000000000000000</v>
      </c>
      <c r="P68" s="75">
        <v>24</v>
      </c>
      <c r="Q68" s="5">
        <v>7.4</v>
      </c>
      <c r="R68" s="5">
        <v>5</v>
      </c>
      <c r="S68" s="76">
        <v>0.8</v>
      </c>
      <c r="T68" s="71">
        <v>426.98</v>
      </c>
      <c r="U68" s="10">
        <f>Table5[[#This Row],[Cost]]/Table5[[#This Row],[SizTB]]</f>
        <v>42.698</v>
      </c>
      <c r="V68" s="11">
        <f>Table5[[#This Row],[Cost]]+((CompareWarrYrs-Table5[[#This Row],[Warnty]])*(Incremental_Warr_Yr*Table5[[#This Row],[Cost]]))</f>
        <v>426.98</v>
      </c>
      <c r="W68" s="6">
        <f>Table5[[#This Row],[$+Warr]]/Table5[[#This Row],[SizTB]]</f>
        <v>42.698</v>
      </c>
      <c r="X68" s="10">
        <f>Table5[[#This Row],[$PerTB]]/CompareWarrYrs</f>
        <v>8.5396000000000001</v>
      </c>
      <c r="Y68" s="7"/>
      <c r="Z68" s="59">
        <f>(((Table5[[#This Row],[Watts Active]]*Power_On_Hours_Year/1000)*Active_Duty_Cycle)+((Table5[[#This Row],[Watts Idle]]*Power_On_Hours_Year/1000)*(100%-Active_Duty_Cycle)))*CostPerKWH</f>
        <v>6.0045456000000001</v>
      </c>
      <c r="AA68" s="62">
        <f>Table5[[#This Row],[Energy$year]]/Table5[[#This Row],[SizTB]]</f>
        <v>0.60045455999999997</v>
      </c>
      <c r="AB68" s="52"/>
    </row>
    <row r="69" spans="1:28" ht="15.75" thickBot="1">
      <c r="A69" s="95">
        <v>42960</v>
      </c>
      <c r="B69" s="96" t="s">
        <v>10</v>
      </c>
      <c r="C69" s="130" t="s">
        <v>14</v>
      </c>
      <c r="D69" s="97"/>
      <c r="E69" s="121">
        <v>4</v>
      </c>
      <c r="F69" s="98">
        <v>5900</v>
      </c>
      <c r="G69" s="99"/>
      <c r="H69" s="99"/>
      <c r="I69" s="100">
        <f>(Table5[[#This Row],[RPM]]/5400-1)</f>
        <v>9.259259259259256E-2</v>
      </c>
      <c r="J69" s="101"/>
      <c r="K69" s="96">
        <v>3</v>
      </c>
      <c r="L69" s="102"/>
      <c r="M69" s="96"/>
      <c r="N69" s="102"/>
      <c r="O69" s="103"/>
      <c r="P69" s="104">
        <v>24</v>
      </c>
      <c r="Q69" s="99">
        <v>6.49</v>
      </c>
      <c r="R69" s="99">
        <v>4.59</v>
      </c>
      <c r="S69" s="105">
        <v>0.77</v>
      </c>
      <c r="T69" s="106">
        <v>189.99</v>
      </c>
      <c r="U69" s="107">
        <f>Table5[[#This Row],[Cost]]/Table5[[#This Row],[SizTB]]</f>
        <v>47.497500000000002</v>
      </c>
      <c r="V69" s="108">
        <f>Table5[[#This Row],[Cost]]+((CompareWarrYrs-Table5[[#This Row],[Warnty]])*(Incremental_Warr_Yr*Table5[[#This Row],[Cost]]))</f>
        <v>231.7878</v>
      </c>
      <c r="W69" s="109">
        <f>Table5[[#This Row],[$+Warr]]/Table5[[#This Row],[SizTB]]</f>
        <v>57.946950000000001</v>
      </c>
      <c r="X69" s="107">
        <f>Table5[[#This Row],[$PerTB]]/CompareWarrYrs</f>
        <v>11.58939</v>
      </c>
      <c r="Y69" s="96"/>
      <c r="Z69" s="111">
        <f>(((Table5[[#This Row],[Watts Active]]*Power_On_Hours_Year/1000)*Active_Duty_Cycle)+((Table5[[#This Row],[Watts Idle]]*Power_On_Hours_Year/1000)*(100%-Active_Duty_Cycle)))*CostPerKWH</f>
        <v>5.4457284000000001</v>
      </c>
      <c r="AA69" s="114">
        <f>Table5[[#This Row],[Energy$year]]/Table5[[#This Row],[SizTB]]</f>
        <v>1.3614321</v>
      </c>
      <c r="AB69" s="113"/>
    </row>
    <row r="70" spans="1:28" ht="15.75" thickTop="1">
      <c r="A70" s="1">
        <v>43004</v>
      </c>
      <c r="B70" t="s">
        <v>48</v>
      </c>
      <c r="C70" s="129" t="s">
        <v>49</v>
      </c>
      <c r="D70" s="38" t="s">
        <v>60</v>
      </c>
      <c r="E70" s="120">
        <v>4</v>
      </c>
      <c r="F70" s="54">
        <v>7200</v>
      </c>
      <c r="G70" s="5">
        <v>4.17</v>
      </c>
      <c r="H70" s="5"/>
      <c r="I70" s="87">
        <f>(Table5[[#This Row],[RPM]]/5400-1)</f>
        <v>0.33333333333333326</v>
      </c>
      <c r="J70" s="57">
        <v>200</v>
      </c>
      <c r="K70">
        <v>3</v>
      </c>
      <c r="L70" s="48"/>
      <c r="M70">
        <v>180</v>
      </c>
      <c r="N70" s="48">
        <v>1000000</v>
      </c>
      <c r="O70" s="47">
        <f t="shared" ref="O70:O72" si="7">10^14</f>
        <v>100000000000000</v>
      </c>
      <c r="P70" s="75"/>
      <c r="Q70" s="5">
        <v>9.6</v>
      </c>
      <c r="R70" s="5">
        <v>5.2</v>
      </c>
      <c r="S70" s="76"/>
      <c r="T70" s="71">
        <v>139.99</v>
      </c>
      <c r="U70" s="10">
        <f>Table5[[#This Row],[Cost]]/Table5[[#This Row],[SizTB]]</f>
        <v>34.997500000000002</v>
      </c>
      <c r="V70" s="11">
        <f>Table5[[#This Row],[Cost]]+((CompareWarrYrs-Table5[[#This Row],[Warnty]])*(Incremental_Warr_Yr*Table5[[#This Row],[Cost]]))</f>
        <v>170.7878</v>
      </c>
      <c r="W70" s="6">
        <f>Table5[[#This Row],[$+Warr]]/Table5[[#This Row],[SizTB]]</f>
        <v>42.696950000000001</v>
      </c>
      <c r="X70" s="10">
        <f>Table5[[#This Row],[$PerTB]]/CompareWarrYrs</f>
        <v>8.5393900000000009</v>
      </c>
      <c r="Y70" s="14"/>
      <c r="Z70" s="59">
        <f>(((Table5[[#This Row],[Watts Active]]*Power_On_Hours_Year/1000)*Active_Duty_Cycle)+((Table5[[#This Row],[Watts Idle]]*Power_On_Hours_Year/1000)*(100%-Active_Duty_Cycle)))*CostPerKWH</f>
        <v>6.6619776000000011</v>
      </c>
      <c r="AA70" s="62">
        <f>Table5[[#This Row],[Energy$year]]/Table5[[#This Row],[SizTB]]</f>
        <v>1.6654944000000003</v>
      </c>
      <c r="AB70" s="52"/>
    </row>
    <row r="71" spans="1:28">
      <c r="A71" s="1">
        <v>43004</v>
      </c>
      <c r="B71" t="s">
        <v>48</v>
      </c>
      <c r="C71" s="129" t="s">
        <v>49</v>
      </c>
      <c r="D71" s="38" t="s">
        <v>60</v>
      </c>
      <c r="E71" s="120">
        <v>6</v>
      </c>
      <c r="F71" s="54">
        <v>7200</v>
      </c>
      <c r="G71" s="5">
        <v>4.17</v>
      </c>
      <c r="H71" s="5"/>
      <c r="I71" s="87">
        <f>(Table5[[#This Row],[RPM]]/5400-1)</f>
        <v>0.33333333333333326</v>
      </c>
      <c r="J71" s="57">
        <v>210</v>
      </c>
      <c r="K71">
        <v>3</v>
      </c>
      <c r="L71" s="48"/>
      <c r="M71">
        <v>180</v>
      </c>
      <c r="N71" s="48">
        <v>1000000</v>
      </c>
      <c r="O71" s="47">
        <f t="shared" si="7"/>
        <v>100000000000000</v>
      </c>
      <c r="P71" s="75"/>
      <c r="Q71" s="5">
        <v>10.1</v>
      </c>
      <c r="R71" s="5">
        <v>6.7</v>
      </c>
      <c r="S71" s="76"/>
      <c r="T71" s="71">
        <v>204.99</v>
      </c>
      <c r="U71" s="10">
        <f>Table5[[#This Row],[Cost]]/Table5[[#This Row],[SizTB]]</f>
        <v>34.164999999999999</v>
      </c>
      <c r="V71" s="11">
        <f>Table5[[#This Row],[Cost]]+((CompareWarrYrs-Table5[[#This Row],[Warnty]])*(Incremental_Warr_Yr*Table5[[#This Row],[Cost]]))</f>
        <v>250.08780000000002</v>
      </c>
      <c r="W71" s="6">
        <f>Table5[[#This Row],[$+Warr]]/Table5[[#This Row],[SizTB]]</f>
        <v>41.6813</v>
      </c>
      <c r="X71" s="10">
        <f>Table5[[#This Row],[$PerTB]]/CompareWarrYrs</f>
        <v>8.3362599999999993</v>
      </c>
      <c r="Y71" s="14"/>
      <c r="Z71" s="59">
        <f>(((Table5[[#This Row],[Watts Active]]*Power_On_Hours_Year/1000)*Active_Duty_Cycle)+((Table5[[#This Row],[Watts Idle]]*Power_On_Hours_Year/1000)*(100%-Active_Duty_Cycle)))*CostPerKWH</f>
        <v>8.0864136000000002</v>
      </c>
      <c r="AA71" s="62">
        <f>Table5[[#This Row],[Energy$year]]/Table5[[#This Row],[SizTB]]</f>
        <v>1.3477356</v>
      </c>
      <c r="AB71" s="52"/>
    </row>
    <row r="72" spans="1:28">
      <c r="A72" s="1">
        <v>43004</v>
      </c>
      <c r="B72" t="s">
        <v>48</v>
      </c>
      <c r="C72" s="129" t="s">
        <v>49</v>
      </c>
      <c r="D72" s="38" t="s">
        <v>60</v>
      </c>
      <c r="E72" s="120">
        <v>8</v>
      </c>
      <c r="F72" s="54">
        <v>7200</v>
      </c>
      <c r="G72" s="5">
        <v>4.17</v>
      </c>
      <c r="H72" s="5"/>
      <c r="I72" s="87">
        <f>(Table5[[#This Row],[RPM]]/5400-1)</f>
        <v>0.33333333333333326</v>
      </c>
      <c r="J72" s="57">
        <v>240</v>
      </c>
      <c r="K72">
        <v>3</v>
      </c>
      <c r="L72" s="48"/>
      <c r="M72">
        <v>180</v>
      </c>
      <c r="N72" s="48">
        <v>1000000</v>
      </c>
      <c r="O72" s="47">
        <f t="shared" si="7"/>
        <v>100000000000000</v>
      </c>
      <c r="P72" s="75"/>
      <c r="Q72" s="5">
        <v>9.1999999999999993</v>
      </c>
      <c r="R72" s="5">
        <v>6.2</v>
      </c>
      <c r="S72" s="76"/>
      <c r="T72" s="71">
        <v>234.99</v>
      </c>
      <c r="U72" s="10">
        <f>Table5[[#This Row],[Cost]]/Table5[[#This Row],[SizTB]]</f>
        <v>29.373750000000001</v>
      </c>
      <c r="V72" s="11">
        <f>Table5[[#This Row],[Cost]]+((CompareWarrYrs-Table5[[#This Row],[Warnty]])*(Incremental_Warr_Yr*Table5[[#This Row],[Cost]]))</f>
        <v>286.68780000000004</v>
      </c>
      <c r="W72" s="6">
        <f>Table5[[#This Row],[$+Warr]]/Table5[[#This Row],[SizTB]]</f>
        <v>35.835975000000005</v>
      </c>
      <c r="X72" s="10">
        <f>Table5[[#This Row],[$PerTB]]/CompareWarrYrs</f>
        <v>7.1671950000000013</v>
      </c>
      <c r="Y72" s="14"/>
      <c r="Z72" s="59">
        <f>(((Table5[[#This Row],[Watts Active]]*Power_On_Hours_Year/1000)*Active_Duty_Cycle)+((Table5[[#This Row],[Watts Idle]]*Power_On_Hours_Year/1000)*(100%-Active_Duty_Cycle)))*CostPerKWH</f>
        <v>7.4508960000000002</v>
      </c>
      <c r="AA72" s="62">
        <f>Table5[[#This Row],[Energy$year]]/Table5[[#This Row],[SizTB]]</f>
        <v>0.93136200000000002</v>
      </c>
      <c r="AB72" s="52"/>
    </row>
    <row r="73" spans="1:28">
      <c r="A73" s="1">
        <v>43015</v>
      </c>
      <c r="B73" t="s">
        <v>48</v>
      </c>
      <c r="C73" s="129" t="s">
        <v>66</v>
      </c>
      <c r="D73" s="38"/>
      <c r="E73" s="120">
        <v>1</v>
      </c>
      <c r="F73" s="54">
        <v>7200</v>
      </c>
      <c r="G73" s="5">
        <v>4.17</v>
      </c>
      <c r="H73" s="5"/>
      <c r="I73" s="87">
        <f>(Table5[[#This Row],[RPM]]/5400-1)</f>
        <v>0.33333333333333326</v>
      </c>
      <c r="J73" s="57"/>
      <c r="K73">
        <v>2</v>
      </c>
      <c r="L73" s="48"/>
      <c r="N73" s="48"/>
      <c r="O73" s="47"/>
      <c r="P73" s="75"/>
      <c r="Q73" s="5"/>
      <c r="R73" s="5"/>
      <c r="S73" s="76"/>
      <c r="T73" s="71">
        <v>49.99</v>
      </c>
      <c r="U73" s="10">
        <f>Table5[[#This Row],[Cost]]/Table5[[#This Row],[SizTB]]</f>
        <v>49.99</v>
      </c>
      <c r="V73" s="11">
        <f>Table5[[#This Row],[Cost]]+((CompareWarrYrs-Table5[[#This Row],[Warnty]])*(Incremental_Warr_Yr*Table5[[#This Row],[Cost]]))</f>
        <v>66.486699999999999</v>
      </c>
      <c r="W73" s="6">
        <f>Table5[[#This Row],[$+Warr]]/Table5[[#This Row],[SizTB]]</f>
        <v>66.486699999999999</v>
      </c>
      <c r="X73" s="10">
        <f>Table5[[#This Row],[$PerTB]]/CompareWarrYrs</f>
        <v>13.29734</v>
      </c>
      <c r="Y73" s="14"/>
      <c r="Z73" s="59"/>
      <c r="AA73" s="62"/>
      <c r="AB73" s="52"/>
    </row>
    <row r="74" spans="1:28">
      <c r="A74" s="1">
        <v>43015</v>
      </c>
      <c r="B74" t="s">
        <v>48</v>
      </c>
      <c r="C74" s="129" t="s">
        <v>66</v>
      </c>
      <c r="D74" s="38"/>
      <c r="E74" s="120">
        <v>2</v>
      </c>
      <c r="F74" s="54">
        <v>7200</v>
      </c>
      <c r="G74" s="5">
        <v>4.17</v>
      </c>
      <c r="H74" s="5"/>
      <c r="I74" s="87">
        <f>(Table5[[#This Row],[RPM]]/5400-1)</f>
        <v>0.33333333333333326</v>
      </c>
      <c r="J74" s="57"/>
      <c r="K74">
        <v>2</v>
      </c>
      <c r="L74" s="48"/>
      <c r="N74" s="48"/>
      <c r="O74" s="47"/>
      <c r="P74" s="75"/>
      <c r="Q74" s="5"/>
      <c r="R74" s="5"/>
      <c r="S74" s="76"/>
      <c r="T74" s="71">
        <v>71.989999999999995</v>
      </c>
      <c r="U74" s="10">
        <f>Table5[[#This Row],[Cost]]/Table5[[#This Row],[SizTB]]</f>
        <v>35.994999999999997</v>
      </c>
      <c r="V74" s="11">
        <f>Table5[[#This Row],[Cost]]+((CompareWarrYrs-Table5[[#This Row],[Warnty]])*(Incremental_Warr_Yr*Table5[[#This Row],[Cost]]))</f>
        <v>95.74669999999999</v>
      </c>
      <c r="W74" s="6">
        <f>Table5[[#This Row],[$+Warr]]/Table5[[#This Row],[SizTB]]</f>
        <v>47.873349999999995</v>
      </c>
      <c r="X74" s="10">
        <f>Table5[[#This Row],[$PerTB]]/CompareWarrYrs</f>
        <v>9.5746699999999993</v>
      </c>
      <c r="Y74" s="14"/>
      <c r="Z74" s="59"/>
      <c r="AA74" s="62"/>
      <c r="AB74" s="52"/>
    </row>
    <row r="75" spans="1:28">
      <c r="A75" s="1">
        <v>43015</v>
      </c>
      <c r="B75" t="s">
        <v>48</v>
      </c>
      <c r="C75" s="129" t="s">
        <v>66</v>
      </c>
      <c r="D75" s="38"/>
      <c r="E75" s="120">
        <v>3</v>
      </c>
      <c r="F75" s="54">
        <v>7200</v>
      </c>
      <c r="G75" s="5">
        <v>4.17</v>
      </c>
      <c r="H75" s="5"/>
      <c r="I75" s="87">
        <f>(Table5[[#This Row],[RPM]]/5400-1)</f>
        <v>0.33333333333333326</v>
      </c>
      <c r="J75" s="57"/>
      <c r="K75">
        <v>2</v>
      </c>
      <c r="L75" s="48"/>
      <c r="N75" s="48"/>
      <c r="O75" s="47"/>
      <c r="P75" s="75"/>
      <c r="Q75" s="5"/>
      <c r="R75" s="5"/>
      <c r="S75" s="76"/>
      <c r="T75" s="71">
        <v>89.99</v>
      </c>
      <c r="U75" s="10">
        <f>Table5[[#This Row],[Cost]]/Table5[[#This Row],[SizTB]]</f>
        <v>29.996666666666666</v>
      </c>
      <c r="V75" s="11">
        <f>Table5[[#This Row],[Cost]]+((CompareWarrYrs-Table5[[#This Row],[Warnty]])*(Incremental_Warr_Yr*Table5[[#This Row],[Cost]]))</f>
        <v>119.6867</v>
      </c>
      <c r="W75" s="6">
        <f>Table5[[#This Row],[$+Warr]]/Table5[[#This Row],[SizTB]]</f>
        <v>39.895566666666667</v>
      </c>
      <c r="X75" s="10">
        <f>Table5[[#This Row],[$PerTB]]/CompareWarrYrs</f>
        <v>7.9791133333333333</v>
      </c>
      <c r="Y75" s="14"/>
      <c r="Z75" s="59"/>
      <c r="AA75" s="62"/>
      <c r="AB75" s="52"/>
    </row>
    <row r="76" spans="1:28">
      <c r="A76" s="1">
        <v>43015</v>
      </c>
      <c r="B76" t="s">
        <v>48</v>
      </c>
      <c r="C76" s="129" t="s">
        <v>66</v>
      </c>
      <c r="D76" s="38"/>
      <c r="E76" s="120">
        <v>4</v>
      </c>
      <c r="F76" s="54">
        <v>7200</v>
      </c>
      <c r="G76" s="5">
        <v>4.17</v>
      </c>
      <c r="H76" s="5"/>
      <c r="I76" s="87">
        <f>(Table5[[#This Row],[RPM]]/5400-1)</f>
        <v>0.33333333333333326</v>
      </c>
      <c r="J76" s="57"/>
      <c r="K76">
        <v>2</v>
      </c>
      <c r="L76" s="48"/>
      <c r="N76" s="48"/>
      <c r="O76" s="47"/>
      <c r="P76" s="75"/>
      <c r="Q76" s="5"/>
      <c r="R76" s="5"/>
      <c r="S76" s="76"/>
      <c r="T76" s="71">
        <v>114.99</v>
      </c>
      <c r="U76" s="10">
        <f>Table5[[#This Row],[Cost]]/Table5[[#This Row],[SizTB]]</f>
        <v>28.747499999999999</v>
      </c>
      <c r="V76" s="11">
        <f>Table5[[#This Row],[Cost]]+((CompareWarrYrs-Table5[[#This Row],[Warnty]])*(Incremental_Warr_Yr*Table5[[#This Row],[Cost]]))</f>
        <v>152.9367</v>
      </c>
      <c r="W76" s="6">
        <f>Table5[[#This Row],[$+Warr]]/Table5[[#This Row],[SizTB]]</f>
        <v>38.234175</v>
      </c>
      <c r="X76" s="10">
        <f>Table5[[#This Row],[$PerTB]]/CompareWarrYrs</f>
        <v>7.6468350000000003</v>
      </c>
      <c r="Y76" s="14"/>
      <c r="Z76" s="59"/>
      <c r="AA76" s="62"/>
      <c r="AB76" s="52"/>
    </row>
    <row r="77" spans="1:28">
      <c r="A77" s="1">
        <v>43015</v>
      </c>
      <c r="B77" t="s">
        <v>48</v>
      </c>
      <c r="C77" s="129" t="s">
        <v>66</v>
      </c>
      <c r="D77" s="38"/>
      <c r="E77" s="120">
        <v>5</v>
      </c>
      <c r="F77" s="54">
        <v>7200</v>
      </c>
      <c r="G77" s="5">
        <v>4.17</v>
      </c>
      <c r="H77" s="5"/>
      <c r="I77" s="87">
        <f>(Table5[[#This Row],[RPM]]/5400-1)</f>
        <v>0.33333333333333326</v>
      </c>
      <c r="J77" s="57"/>
      <c r="K77">
        <v>2</v>
      </c>
      <c r="L77" s="48"/>
      <c r="N77" s="48"/>
      <c r="O77" s="47"/>
      <c r="P77" s="75"/>
      <c r="Q77" s="5"/>
      <c r="R77" s="5"/>
      <c r="S77" s="76"/>
      <c r="T77" s="71">
        <v>159.99</v>
      </c>
      <c r="U77" s="10">
        <f>Table5[[#This Row],[Cost]]/Table5[[#This Row],[SizTB]]</f>
        <v>31.998000000000001</v>
      </c>
      <c r="V77" s="11">
        <f>Table5[[#This Row],[Cost]]+((CompareWarrYrs-Table5[[#This Row],[Warnty]])*(Incremental_Warr_Yr*Table5[[#This Row],[Cost]]))</f>
        <v>212.7867</v>
      </c>
      <c r="W77" s="6">
        <f>Table5[[#This Row],[$+Warr]]/Table5[[#This Row],[SizTB]]</f>
        <v>42.557339999999996</v>
      </c>
      <c r="X77" s="10">
        <f>Table5[[#This Row],[$PerTB]]/CompareWarrYrs</f>
        <v>8.5114679999999989</v>
      </c>
      <c r="Y77" s="14"/>
      <c r="Z77" s="59"/>
      <c r="AA77" s="62"/>
      <c r="AB77" s="52"/>
    </row>
    <row r="78" spans="1:28">
      <c r="A78" s="1">
        <v>43015</v>
      </c>
      <c r="B78" t="s">
        <v>48</v>
      </c>
      <c r="C78" s="129" t="s">
        <v>66</v>
      </c>
      <c r="D78" s="38"/>
      <c r="E78" s="120">
        <v>6</v>
      </c>
      <c r="F78" s="54">
        <v>7200</v>
      </c>
      <c r="G78" s="5">
        <v>4.17</v>
      </c>
      <c r="H78" s="5"/>
      <c r="I78" s="87">
        <f>(Table5[[#This Row],[RPM]]/5400-1)</f>
        <v>0.33333333333333326</v>
      </c>
      <c r="J78" s="57"/>
      <c r="K78">
        <v>2</v>
      </c>
      <c r="L78" s="48"/>
      <c r="N78" s="48"/>
      <c r="O78" s="47"/>
      <c r="P78" s="75"/>
      <c r="Q78" s="5"/>
      <c r="R78" s="5"/>
      <c r="S78" s="76"/>
      <c r="T78" s="71">
        <v>139.99</v>
      </c>
      <c r="U78" s="10">
        <f>Table5[[#This Row],[Cost]]/Table5[[#This Row],[SizTB]]</f>
        <v>23.331666666666667</v>
      </c>
      <c r="V78" s="11">
        <f>Table5[[#This Row],[Cost]]+((CompareWarrYrs-Table5[[#This Row],[Warnty]])*(Incremental_Warr_Yr*Table5[[#This Row],[Cost]]))</f>
        <v>186.18670000000003</v>
      </c>
      <c r="W78" s="6">
        <f>Table5[[#This Row],[$+Warr]]/Table5[[#This Row],[SizTB]]</f>
        <v>31.031116666666673</v>
      </c>
      <c r="X78" s="10">
        <f>Table5[[#This Row],[$PerTB]]/CompareWarrYrs</f>
        <v>6.2062233333333348</v>
      </c>
      <c r="Y78" s="14"/>
      <c r="Z78" s="59"/>
      <c r="AA78" s="62"/>
      <c r="AB78" s="52"/>
    </row>
    <row r="79" spans="1:28">
      <c r="A79" s="1">
        <v>43015</v>
      </c>
      <c r="B79" t="s">
        <v>48</v>
      </c>
      <c r="C79" s="129" t="s">
        <v>84</v>
      </c>
      <c r="D79" s="38"/>
      <c r="E79" s="120">
        <v>4</v>
      </c>
      <c r="F79" s="54">
        <v>7200</v>
      </c>
      <c r="G79" s="5">
        <v>4.17</v>
      </c>
      <c r="H79" s="5"/>
      <c r="I79" s="87">
        <f>(Table5[[#This Row],[RPM]]/5400-1)</f>
        <v>0.33333333333333326</v>
      </c>
      <c r="J79" s="57"/>
      <c r="K79">
        <v>2</v>
      </c>
      <c r="L79" s="48"/>
      <c r="N79" s="48"/>
      <c r="O79" s="47"/>
      <c r="P79" s="75"/>
      <c r="Q79" s="5"/>
      <c r="R79" s="5"/>
      <c r="S79" s="76"/>
      <c r="T79" s="71">
        <v>129.99</v>
      </c>
      <c r="U79" s="10">
        <f>Table5[[#This Row],[Cost]]/Table5[[#This Row],[SizTB]]</f>
        <v>32.497500000000002</v>
      </c>
      <c r="V79" s="11">
        <f>Table5[[#This Row],[Cost]]+((CompareWarrYrs-Table5[[#This Row],[Warnty]])*(Incremental_Warr_Yr*Table5[[#This Row],[Cost]]))</f>
        <v>172.88670000000002</v>
      </c>
      <c r="W79" s="6">
        <f>Table5[[#This Row],[$+Warr]]/Table5[[#This Row],[SizTB]]</f>
        <v>43.221675000000005</v>
      </c>
      <c r="X79" s="10">
        <f>Table5[[#This Row],[$PerTB]]/CompareWarrYrs</f>
        <v>8.6443350000000017</v>
      </c>
      <c r="Y79" s="14"/>
      <c r="Z79" s="59"/>
      <c r="AA79" s="62"/>
      <c r="AB79" s="52"/>
    </row>
    <row r="80" spans="1:28">
      <c r="A80" s="1">
        <v>43015</v>
      </c>
      <c r="B80" t="s">
        <v>48</v>
      </c>
      <c r="C80" s="129" t="s">
        <v>84</v>
      </c>
      <c r="D80" s="38"/>
      <c r="E80" s="120">
        <v>5</v>
      </c>
      <c r="F80" s="54">
        <v>7200</v>
      </c>
      <c r="G80" s="5">
        <v>4.17</v>
      </c>
      <c r="H80" s="5"/>
      <c r="I80" s="87">
        <f>(Table5[[#This Row],[RPM]]/5400-1)</f>
        <v>0.33333333333333326</v>
      </c>
      <c r="J80" s="57"/>
      <c r="K80">
        <v>2</v>
      </c>
      <c r="L80" s="48"/>
      <c r="N80" s="48"/>
      <c r="O80" s="47"/>
      <c r="P80" s="75"/>
      <c r="Q80" s="5"/>
      <c r="R80" s="5"/>
      <c r="S80" s="76"/>
      <c r="T80" s="71">
        <v>149.99</v>
      </c>
      <c r="U80" s="10">
        <f>Table5[[#This Row],[Cost]]/Table5[[#This Row],[SizTB]]</f>
        <v>29.998000000000001</v>
      </c>
      <c r="V80" s="11">
        <f>Table5[[#This Row],[Cost]]+((CompareWarrYrs-Table5[[#This Row],[Warnty]])*(Incremental_Warr_Yr*Table5[[#This Row],[Cost]]))</f>
        <v>199.48670000000001</v>
      </c>
      <c r="W80" s="6">
        <f>Table5[[#This Row],[$+Warr]]/Table5[[#This Row],[SizTB]]</f>
        <v>39.89734</v>
      </c>
      <c r="X80" s="10">
        <f>Table5[[#This Row],[$PerTB]]/CompareWarrYrs</f>
        <v>7.9794679999999998</v>
      </c>
      <c r="Y80" s="14"/>
      <c r="Z80" s="59"/>
      <c r="AA80" s="62"/>
      <c r="AB80" s="52"/>
    </row>
    <row r="81" spans="1:28">
      <c r="A81" s="1">
        <v>43015</v>
      </c>
      <c r="B81" t="s">
        <v>48</v>
      </c>
      <c r="C81" s="129" t="s">
        <v>84</v>
      </c>
      <c r="D81" s="38"/>
      <c r="E81" s="120">
        <v>6</v>
      </c>
      <c r="F81" s="54">
        <v>7200</v>
      </c>
      <c r="G81" s="5">
        <v>4.17</v>
      </c>
      <c r="H81" s="5"/>
      <c r="I81" s="87">
        <f>(Table5[[#This Row],[RPM]]/5400-1)</f>
        <v>0.33333333333333326</v>
      </c>
      <c r="J81" s="57"/>
      <c r="K81">
        <v>2</v>
      </c>
      <c r="L81" s="48"/>
      <c r="N81" s="48"/>
      <c r="O81" s="47"/>
      <c r="P81" s="75"/>
      <c r="Q81" s="5"/>
      <c r="R81" s="5"/>
      <c r="S81" s="76"/>
      <c r="T81" s="71">
        <v>189.99</v>
      </c>
      <c r="U81" s="10">
        <f>Table5[[#This Row],[Cost]]/Table5[[#This Row],[SizTB]]</f>
        <v>31.665000000000003</v>
      </c>
      <c r="V81" s="11">
        <f>Table5[[#This Row],[Cost]]+((CompareWarrYrs-Table5[[#This Row],[Warnty]])*(Incremental_Warr_Yr*Table5[[#This Row],[Cost]]))</f>
        <v>252.68670000000003</v>
      </c>
      <c r="W81" s="6">
        <f>Table5[[#This Row],[$+Warr]]/Table5[[#This Row],[SizTB]]</f>
        <v>42.114450000000005</v>
      </c>
      <c r="X81" s="10">
        <f>Table5[[#This Row],[$PerTB]]/CompareWarrYrs</f>
        <v>8.4228900000000007</v>
      </c>
      <c r="Y81" s="14"/>
      <c r="Z81" s="59"/>
      <c r="AA81" s="62"/>
      <c r="AB81" s="52"/>
    </row>
    <row r="82" spans="1:28" ht="15.75" thickBot="1">
      <c r="A82" s="95">
        <v>43015</v>
      </c>
      <c r="B82" s="96" t="s">
        <v>48</v>
      </c>
      <c r="C82" s="130" t="s">
        <v>84</v>
      </c>
      <c r="D82" s="97"/>
      <c r="E82" s="121">
        <v>8</v>
      </c>
      <c r="F82" s="98">
        <v>7200</v>
      </c>
      <c r="G82" s="99">
        <v>4.17</v>
      </c>
      <c r="H82" s="99"/>
      <c r="I82" s="100">
        <f>(Table5[[#This Row],[RPM]]/5400-1)</f>
        <v>0.33333333333333326</v>
      </c>
      <c r="J82" s="101"/>
      <c r="K82" s="96">
        <v>2</v>
      </c>
      <c r="L82" s="102"/>
      <c r="M82" s="96"/>
      <c r="N82" s="102"/>
      <c r="O82" s="103"/>
      <c r="P82" s="104"/>
      <c r="Q82" s="99"/>
      <c r="R82" s="99"/>
      <c r="S82" s="105"/>
      <c r="T82" s="106">
        <v>254.99</v>
      </c>
      <c r="U82" s="107">
        <f>Table5[[#This Row],[Cost]]/Table5[[#This Row],[SizTB]]</f>
        <v>31.873750000000001</v>
      </c>
      <c r="V82" s="108">
        <f>Table5[[#This Row],[Cost]]+((CompareWarrYrs-Table5[[#This Row],[Warnty]])*(Incremental_Warr_Yr*Table5[[#This Row],[Cost]]))</f>
        <v>339.13670000000002</v>
      </c>
      <c r="W82" s="109">
        <f>Table5[[#This Row],[$+Warr]]/Table5[[#This Row],[SizTB]]</f>
        <v>42.392087500000002</v>
      </c>
      <c r="X82" s="107">
        <f>Table5[[#This Row],[$PerTB]]/CompareWarrYrs</f>
        <v>8.4784175000000008</v>
      </c>
      <c r="Y82" s="110"/>
      <c r="Z82" s="111"/>
      <c r="AA82" s="114"/>
      <c r="AB82" s="113"/>
    </row>
    <row r="83" spans="1:28" ht="15.75" thickTop="1">
      <c r="A83" s="1">
        <v>43004</v>
      </c>
      <c r="B83" t="s">
        <v>6</v>
      </c>
      <c r="C83" s="129" t="s">
        <v>111</v>
      </c>
      <c r="D83" s="38"/>
      <c r="E83" s="120">
        <v>6</v>
      </c>
      <c r="F83" s="54">
        <v>5760</v>
      </c>
      <c r="G83" s="5"/>
      <c r="H83" s="5"/>
      <c r="I83" s="87">
        <f>(Table5[[#This Row],[RPM]]/5400-1)</f>
        <v>6.6666666666666652E-2</v>
      </c>
      <c r="J83" s="57">
        <v>150</v>
      </c>
      <c r="K83">
        <v>3</v>
      </c>
      <c r="L83" s="48">
        <v>300000</v>
      </c>
      <c r="N83" s="48">
        <v>500000</v>
      </c>
      <c r="O83" s="47">
        <f t="shared" ref="O83:O88" si="8">10^14</f>
        <v>100000000000000</v>
      </c>
      <c r="P83" s="75"/>
      <c r="Q83" s="5">
        <v>6.5</v>
      </c>
      <c r="R83" s="5">
        <v>4.8</v>
      </c>
      <c r="S83" s="76"/>
      <c r="T83" s="71">
        <v>169.99</v>
      </c>
      <c r="U83" s="10">
        <f>Table5[[#This Row],[Cost]]/Table5[[#This Row],[SizTB]]</f>
        <v>28.331666666666667</v>
      </c>
      <c r="V83" s="11">
        <f>Table5[[#This Row],[Cost]]+((CompareWarrYrs-Table5[[#This Row],[Warnty]])*(Incremental_Warr_Yr*Table5[[#This Row],[Cost]]))</f>
        <v>207.38780000000003</v>
      </c>
      <c r="W83" s="6">
        <f>Table5[[#This Row],[$+Warr]]/Table5[[#This Row],[SizTB]]</f>
        <v>34.56463333333334</v>
      </c>
      <c r="X83" s="10">
        <f>Table5[[#This Row],[$PerTB]]/CompareWarrYrs</f>
        <v>6.9129266666666682</v>
      </c>
      <c r="Y83" s="7"/>
      <c r="Z83" s="59">
        <f>(((Table5[[#This Row],[Watts Active]]*Power_On_Hours_Year/1000)*Active_Duty_Cycle)+((Table5[[#This Row],[Watts Idle]]*Power_On_Hours_Year/1000)*(100%-Active_Duty_Cycle)))*CostPerKWH</f>
        <v>5.6320008000000001</v>
      </c>
      <c r="AA83" s="60">
        <f>Table5[[#This Row],[Energy$year]]/Table5[[#This Row],[SizTB]]</f>
        <v>0.93866680000000002</v>
      </c>
      <c r="AB83" s="52"/>
    </row>
    <row r="84" spans="1:28">
      <c r="A84" s="1">
        <v>43014</v>
      </c>
      <c r="B84" t="s">
        <v>6</v>
      </c>
      <c r="C84" s="129" t="s">
        <v>5</v>
      </c>
      <c r="D84" s="38"/>
      <c r="E84" s="120">
        <v>1</v>
      </c>
      <c r="F84" s="54">
        <v>7200</v>
      </c>
      <c r="G84" s="5"/>
      <c r="H84" s="5"/>
      <c r="I84" s="87">
        <f>(Table5[[#This Row],[RPM]]/5400-1)</f>
        <v>0.33333333333333326</v>
      </c>
      <c r="J84" s="57">
        <v>150</v>
      </c>
      <c r="K84">
        <v>5</v>
      </c>
      <c r="L84" s="48">
        <v>300000</v>
      </c>
      <c r="N84" s="48"/>
      <c r="O84" s="47">
        <f t="shared" si="8"/>
        <v>100000000000000</v>
      </c>
      <c r="P84" s="75"/>
      <c r="Q84" s="5">
        <v>6.8</v>
      </c>
      <c r="R84" s="5">
        <v>6.1</v>
      </c>
      <c r="S84" s="76">
        <v>0.8</v>
      </c>
      <c r="T84" s="71">
        <v>67.489999999999995</v>
      </c>
      <c r="U84" s="10">
        <f>Table5[[#This Row],[Cost]]/Table5[[#This Row],[SizTB]]</f>
        <v>67.489999999999995</v>
      </c>
      <c r="V84" s="11">
        <f>Table5[[#This Row],[Cost]]+((CompareWarrYrs-Table5[[#This Row],[Warnty]])*(Incremental_Warr_Yr*Table5[[#This Row],[Cost]]))</f>
        <v>67.489999999999995</v>
      </c>
      <c r="W84" s="6">
        <f>Table5[[#This Row],[$+Warr]]/Table5[[#This Row],[SizTB]]</f>
        <v>67.489999999999995</v>
      </c>
      <c r="X84" s="10">
        <f>Table5[[#This Row],[$PerTB]]/CompareWarrYrs</f>
        <v>13.497999999999999</v>
      </c>
      <c r="Y84" s="7"/>
      <c r="Z84" s="59">
        <f>(((Table5[[#This Row],[Watts Active]]*Power_On_Hours_Year/1000)*Active_Duty_Cycle)+((Table5[[#This Row],[Watts Idle]]*Power_On_Hours_Year/1000)*(100%-Active_Duty_Cycle)))*CostPerKWH</f>
        <v>6.8372928000000002</v>
      </c>
      <c r="AA84" s="60">
        <f>Table5[[#This Row],[Energy$year]]/Table5[[#This Row],[SizTB]]</f>
        <v>6.8372928000000002</v>
      </c>
      <c r="AB84" s="52"/>
    </row>
    <row r="85" spans="1:28">
      <c r="A85" s="1">
        <v>43000</v>
      </c>
      <c r="B85" t="s">
        <v>6</v>
      </c>
      <c r="C85" s="129" t="s">
        <v>5</v>
      </c>
      <c r="D85" s="38"/>
      <c r="E85" s="120">
        <v>2</v>
      </c>
      <c r="F85" s="54">
        <v>7200</v>
      </c>
      <c r="G85" s="5"/>
      <c r="H85" s="5"/>
      <c r="I85" s="87">
        <f>(Table5[[#This Row],[RPM]]/5400-1)</f>
        <v>0.33333333333333326</v>
      </c>
      <c r="J85" s="57">
        <v>164</v>
      </c>
      <c r="K85">
        <v>5</v>
      </c>
      <c r="L85" s="48">
        <v>300000</v>
      </c>
      <c r="N85" s="48"/>
      <c r="O85" s="47">
        <f t="shared" si="8"/>
        <v>100000000000000</v>
      </c>
      <c r="P85" s="75"/>
      <c r="Q85" s="5">
        <v>9.5</v>
      </c>
      <c r="R85" s="5">
        <v>8.1</v>
      </c>
      <c r="S85" s="76">
        <v>1.3</v>
      </c>
      <c r="T85" s="71">
        <v>119.99</v>
      </c>
      <c r="U85" s="10">
        <f>Table5[[#This Row],[Cost]]/Table5[[#This Row],[SizTB]]</f>
        <v>59.994999999999997</v>
      </c>
      <c r="V85" s="11">
        <f>Table5[[#This Row],[Cost]]+((CompareWarrYrs-Table5[[#This Row],[Warnty]])*(Incremental_Warr_Yr*Table5[[#This Row],[Cost]]))</f>
        <v>119.99</v>
      </c>
      <c r="W85" s="6">
        <f>Table5[[#This Row],[$+Warr]]/Table5[[#This Row],[SizTB]]</f>
        <v>59.994999999999997</v>
      </c>
      <c r="X85" s="10">
        <f>Table5[[#This Row],[$PerTB]]/CompareWarrYrs</f>
        <v>11.998999999999999</v>
      </c>
      <c r="Y85" s="7"/>
      <c r="Z85" s="59">
        <f>(((Table5[[#This Row],[Watts Active]]*Power_On_Hours_Year/1000)*Active_Duty_Cycle)+((Table5[[#This Row],[Watts Idle]]*Power_On_Hours_Year/1000)*(100%-Active_Duty_Cycle)))*CostPerKWH</f>
        <v>9.1821336000000002</v>
      </c>
      <c r="AA85" s="60">
        <f>Table5[[#This Row],[Energy$year]]/Table5[[#This Row],[SizTB]]</f>
        <v>4.5910668000000001</v>
      </c>
      <c r="AB85" s="52"/>
    </row>
    <row r="86" spans="1:28">
      <c r="A86" s="1">
        <v>43008</v>
      </c>
      <c r="B86" t="s">
        <v>6</v>
      </c>
      <c r="C86" s="129" t="s">
        <v>5</v>
      </c>
      <c r="D86" s="38"/>
      <c r="E86" s="120">
        <v>4</v>
      </c>
      <c r="F86" s="54">
        <v>7200</v>
      </c>
      <c r="G86" s="5"/>
      <c r="H86" s="5"/>
      <c r="I86" s="87">
        <f>(Table5[[#This Row],[RPM]]/5400-1)</f>
        <v>0.33333333333333326</v>
      </c>
      <c r="J86" s="57">
        <v>202</v>
      </c>
      <c r="K86">
        <v>5</v>
      </c>
      <c r="L86" s="48">
        <v>300000</v>
      </c>
      <c r="N86" s="48"/>
      <c r="O86" s="47">
        <f t="shared" si="8"/>
        <v>100000000000000</v>
      </c>
      <c r="P86" s="75"/>
      <c r="Q86" s="5">
        <v>10.6</v>
      </c>
      <c r="R86" s="5">
        <v>7.6</v>
      </c>
      <c r="S86" s="76">
        <v>1.6</v>
      </c>
      <c r="T86" s="71">
        <v>184.99</v>
      </c>
      <c r="U86" s="10">
        <f>Table5[[#This Row],[Cost]]/Table5[[#This Row],[SizTB]]</f>
        <v>46.247500000000002</v>
      </c>
      <c r="V86" s="11">
        <f>Table5[[#This Row],[Cost]]+((CompareWarrYrs-Table5[[#This Row],[Warnty]])*(Incremental_Warr_Yr*Table5[[#This Row],[Cost]]))</f>
        <v>184.99</v>
      </c>
      <c r="W86" s="6">
        <f>Table5[[#This Row],[$+Warr]]/Table5[[#This Row],[SizTB]]</f>
        <v>46.247500000000002</v>
      </c>
      <c r="X86" s="10">
        <f>Table5[[#This Row],[$PerTB]]/CompareWarrYrs</f>
        <v>9.2495000000000012</v>
      </c>
      <c r="Y86" s="7"/>
      <c r="Z86" s="59">
        <f>(((Table5[[#This Row],[Watts Active]]*Power_On_Hours_Year/1000)*Active_Duty_Cycle)+((Table5[[#This Row],[Watts Idle]]*Power_On_Hours_Year/1000)*(100%-Active_Duty_Cycle)))*CostPerKWH</f>
        <v>8.9849040000000002</v>
      </c>
      <c r="AA86" s="60">
        <f>Table5[[#This Row],[Energy$year]]/Table5[[#This Row],[SizTB]]</f>
        <v>2.2462260000000001</v>
      </c>
      <c r="AB86" s="52"/>
    </row>
    <row r="87" spans="1:28">
      <c r="A87" s="1">
        <v>43000</v>
      </c>
      <c r="B87" t="s">
        <v>6</v>
      </c>
      <c r="C87" s="129" t="s">
        <v>5</v>
      </c>
      <c r="D87" s="38"/>
      <c r="E87" s="120">
        <v>5</v>
      </c>
      <c r="F87" s="54">
        <v>7200</v>
      </c>
      <c r="G87" s="5"/>
      <c r="H87" s="5"/>
      <c r="I87" s="87">
        <f>(Table5[[#This Row],[RPM]]/5400-1)</f>
        <v>0.33333333333333326</v>
      </c>
      <c r="J87" s="57">
        <v>194</v>
      </c>
      <c r="K87">
        <v>5</v>
      </c>
      <c r="L87" s="48">
        <v>300000</v>
      </c>
      <c r="N87" s="48"/>
      <c r="O87" s="47">
        <f t="shared" si="8"/>
        <v>100000000000000</v>
      </c>
      <c r="P87" s="75"/>
      <c r="Q87" s="5">
        <v>10.6</v>
      </c>
      <c r="R87" s="5">
        <v>7.6</v>
      </c>
      <c r="S87" s="76">
        <v>1.6</v>
      </c>
      <c r="T87" s="71">
        <v>134.99</v>
      </c>
      <c r="U87" s="10">
        <f>Table5[[#This Row],[Cost]]/Table5[[#This Row],[SizTB]]</f>
        <v>26.998000000000001</v>
      </c>
      <c r="V87" s="11">
        <f>Table5[[#This Row],[Cost]]+((CompareWarrYrs-Table5[[#This Row],[Warnty]])*(Incremental_Warr_Yr*Table5[[#This Row],[Cost]]))</f>
        <v>134.99</v>
      </c>
      <c r="W87" s="6">
        <f>Table5[[#This Row],[$+Warr]]/Table5[[#This Row],[SizTB]]</f>
        <v>26.998000000000001</v>
      </c>
      <c r="X87" s="10">
        <f>Table5[[#This Row],[$PerTB]]/CompareWarrYrs</f>
        <v>5.3996000000000004</v>
      </c>
      <c r="Y87" s="7"/>
      <c r="Z87" s="59">
        <f>(((Table5[[#This Row],[Watts Active]]*Power_On_Hours_Year/1000)*Active_Duty_Cycle)+((Table5[[#This Row],[Watts Idle]]*Power_On_Hours_Year/1000)*(100%-Active_Duty_Cycle)))*CostPerKWH</f>
        <v>8.9849040000000002</v>
      </c>
      <c r="AA87" s="60">
        <f>Table5[[#This Row],[Energy$year]]/Table5[[#This Row],[SizTB]]</f>
        <v>1.7969808</v>
      </c>
      <c r="AB87" s="52"/>
    </row>
    <row r="88" spans="1:28">
      <c r="A88" s="1">
        <v>43014</v>
      </c>
      <c r="B88" t="s">
        <v>6</v>
      </c>
      <c r="C88" s="129" t="s">
        <v>5</v>
      </c>
      <c r="D88" s="38"/>
      <c r="E88" s="120">
        <v>6</v>
      </c>
      <c r="F88" s="54">
        <v>7200</v>
      </c>
      <c r="G88" s="5"/>
      <c r="H88" s="5"/>
      <c r="I88" s="87">
        <f>(Table5[[#This Row],[RPM]]/5400-1)</f>
        <v>0.33333333333333326</v>
      </c>
      <c r="J88" s="57">
        <v>227</v>
      </c>
      <c r="K88">
        <v>5</v>
      </c>
      <c r="L88" s="48">
        <v>300000</v>
      </c>
      <c r="N88" s="48"/>
      <c r="O88" s="47">
        <f t="shared" si="8"/>
        <v>100000000000000</v>
      </c>
      <c r="P88" s="75"/>
      <c r="Q88" s="5">
        <v>10.6</v>
      </c>
      <c r="R88" s="5">
        <v>7.6</v>
      </c>
      <c r="S88" s="76">
        <v>1.6</v>
      </c>
      <c r="T88" s="71">
        <f>439.99/2</f>
        <v>219.995</v>
      </c>
      <c r="U88" s="10">
        <f>Table5[[#This Row],[Cost]]/Table5[[#This Row],[SizTB]]</f>
        <v>36.665833333333332</v>
      </c>
      <c r="V88" s="11">
        <f>Table5[[#This Row],[Cost]]+((CompareWarrYrs-Table5[[#This Row],[Warnty]])*(Incremental_Warr_Yr*Table5[[#This Row],[Cost]]))</f>
        <v>219.995</v>
      </c>
      <c r="W88" s="6">
        <f>Table5[[#This Row],[$+Warr]]/Table5[[#This Row],[SizTB]]</f>
        <v>36.665833333333332</v>
      </c>
      <c r="X88" s="10">
        <f>Table5[[#This Row],[$PerTB]]/CompareWarrYrs</f>
        <v>7.3331666666666662</v>
      </c>
      <c r="Y88" s="7"/>
      <c r="Z88" s="59">
        <f>(((Table5[[#This Row],[Watts Active]]*Power_On_Hours_Year/1000)*Active_Duty_Cycle)+((Table5[[#This Row],[Watts Idle]]*Power_On_Hours_Year/1000)*(100%-Active_Duty_Cycle)))*CostPerKWH</f>
        <v>8.9849040000000002</v>
      </c>
      <c r="AA88" s="60">
        <f>Table5[[#This Row],[Energy$year]]/Table5[[#This Row],[SizTB]]</f>
        <v>1.497484</v>
      </c>
      <c r="AB88" s="52"/>
    </row>
    <row r="89" spans="1:28">
      <c r="A89" s="1">
        <v>43000</v>
      </c>
      <c r="B89" t="s">
        <v>6</v>
      </c>
      <c r="C89" s="129" t="s">
        <v>5</v>
      </c>
      <c r="D89" s="38"/>
      <c r="E89" s="120">
        <v>8</v>
      </c>
      <c r="F89" s="54">
        <v>7200</v>
      </c>
      <c r="G89" s="5"/>
      <c r="H89" s="5"/>
      <c r="I89" s="87">
        <f>(Table5[[#This Row],[RPM]]/5400-1)</f>
        <v>0.33333333333333326</v>
      </c>
      <c r="J89" s="57"/>
      <c r="K89">
        <v>5</v>
      </c>
      <c r="L89" s="48">
        <v>300000</v>
      </c>
      <c r="N89" s="48"/>
      <c r="O89" s="47"/>
      <c r="P89" s="75"/>
      <c r="Q89" s="5">
        <v>10.6</v>
      </c>
      <c r="R89" s="5">
        <v>7.6</v>
      </c>
      <c r="S89" s="76">
        <v>1.6</v>
      </c>
      <c r="T89" s="71">
        <v>329.99</v>
      </c>
      <c r="U89" s="10">
        <f>Table5[[#This Row],[Cost]]/Table5[[#This Row],[SizTB]]</f>
        <v>41.248750000000001</v>
      </c>
      <c r="V89" s="11">
        <f>Table5[[#This Row],[Cost]]+((CompareWarrYrs-Table5[[#This Row],[Warnty]])*(Incremental_Warr_Yr*Table5[[#This Row],[Cost]]))</f>
        <v>329.99</v>
      </c>
      <c r="W89" s="6">
        <f>Table5[[#This Row],[$+Warr]]/Table5[[#This Row],[SizTB]]</f>
        <v>41.248750000000001</v>
      </c>
      <c r="X89" s="10">
        <f>Table5[[#This Row],[$PerTB]]/CompareWarrYrs</f>
        <v>8.2497500000000006</v>
      </c>
      <c r="Y89" s="7"/>
      <c r="Z89" s="59">
        <f>(((Table5[[#This Row],[Watts Active]]*Power_On_Hours_Year/1000)*Active_Duty_Cycle)+((Table5[[#This Row],[Watts Idle]]*Power_On_Hours_Year/1000)*(100%-Active_Duty_Cycle)))*CostPerKWH</f>
        <v>8.9849040000000002</v>
      </c>
      <c r="AA89" s="60">
        <f>Table5[[#This Row],[Energy$year]]/Table5[[#This Row],[SizTB]]</f>
        <v>1.123113</v>
      </c>
      <c r="AB89" s="52"/>
    </row>
    <row r="90" spans="1:28">
      <c r="A90" s="1">
        <v>43005</v>
      </c>
      <c r="B90" t="s">
        <v>6</v>
      </c>
      <c r="C90" s="129" t="s">
        <v>77</v>
      </c>
      <c r="D90" s="38"/>
      <c r="E90" s="120">
        <v>1</v>
      </c>
      <c r="F90" s="54">
        <v>7200</v>
      </c>
      <c r="G90" s="5"/>
      <c r="H90" s="5"/>
      <c r="I90" s="87">
        <f>(Table5[[#This Row],[RPM]]/5400-1)</f>
        <v>0.33333333333333326</v>
      </c>
      <c r="J90" s="57"/>
      <c r="K90">
        <v>5</v>
      </c>
      <c r="L90" s="48">
        <v>600000</v>
      </c>
      <c r="N90" s="48"/>
      <c r="O90" s="47">
        <f t="shared" ref="O90:O98" si="9">10^14</f>
        <v>100000000000000</v>
      </c>
      <c r="P90" s="75">
        <f>1.1*5</f>
        <v>5.5</v>
      </c>
      <c r="Q90" s="5">
        <v>1.8</v>
      </c>
      <c r="R90" s="5">
        <v>0.8</v>
      </c>
      <c r="S90" s="76">
        <v>0.2</v>
      </c>
      <c r="T90" s="71">
        <v>64.989999999999995</v>
      </c>
      <c r="U90" s="10">
        <f>Table5[[#This Row],[Cost]]/Table5[[#This Row],[SizTB]]</f>
        <v>64.989999999999995</v>
      </c>
      <c r="V90" s="11">
        <f>Table5[[#This Row],[Cost]]+((CompareWarrYrs-Table5[[#This Row],[Warnty]])*(Incremental_Warr_Yr*Table5[[#This Row],[Cost]]))</f>
        <v>64.989999999999995</v>
      </c>
      <c r="W90" s="6">
        <f>Table5[[#This Row],[$+Warr]]/Table5[[#This Row],[SizTB]]</f>
        <v>64.989999999999995</v>
      </c>
      <c r="X90" s="10">
        <f>Table5[[#This Row],[$PerTB]]/CompareWarrYrs</f>
        <v>12.997999999999999</v>
      </c>
      <c r="Y90" s="7"/>
      <c r="Z90" s="59">
        <f>(((Table5[[#This Row],[Watts Active]]*Power_On_Hours_Year/1000)*Active_Duty_Cycle)+((Table5[[#This Row],[Watts Idle]]*Power_On_Hours_Year/1000)*(100%-Active_Duty_Cycle)))*CostPerKWH</f>
        <v>1.09572</v>
      </c>
      <c r="AA90" s="60">
        <f>Table5[[#This Row],[Energy$year]]/Table5[[#This Row],[SizTB]]</f>
        <v>1.09572</v>
      </c>
      <c r="AB90" s="52"/>
    </row>
    <row r="91" spans="1:28">
      <c r="A91" s="1">
        <v>42970</v>
      </c>
      <c r="B91" t="s">
        <v>6</v>
      </c>
      <c r="C91" s="129" t="s">
        <v>31</v>
      </c>
      <c r="D91" s="38"/>
      <c r="E91" s="120">
        <v>1</v>
      </c>
      <c r="F91" s="54">
        <v>5400</v>
      </c>
      <c r="G91" s="5"/>
      <c r="H91" s="5"/>
      <c r="I91" s="87">
        <f>(Table5[[#This Row],[RPM]]/5400-1)</f>
        <v>0</v>
      </c>
      <c r="J91" s="57">
        <v>150</v>
      </c>
      <c r="K91">
        <v>2</v>
      </c>
      <c r="L91" s="48">
        <v>300000</v>
      </c>
      <c r="N91" s="48"/>
      <c r="O91" s="47">
        <f t="shared" si="9"/>
        <v>100000000000000</v>
      </c>
      <c r="P91" s="75"/>
      <c r="Q91" s="5"/>
      <c r="R91" s="5"/>
      <c r="S91" s="76"/>
      <c r="T91" s="71">
        <v>49.99</v>
      </c>
      <c r="U91" s="10">
        <f>Table5[[#This Row],[Cost]]/Table5[[#This Row],[SizTB]]</f>
        <v>49.99</v>
      </c>
      <c r="V91" s="11">
        <f>Table5[[#This Row],[Cost]]+((CompareWarrYrs-Table5[[#This Row],[Warnty]])*(Incremental_Warr_Yr*Table5[[#This Row],[Cost]]))</f>
        <v>66.486699999999999</v>
      </c>
      <c r="W91" s="6">
        <f>Table5[[#This Row],[$+Warr]]/Table5[[#This Row],[SizTB]]</f>
        <v>66.486699999999999</v>
      </c>
      <c r="X91" s="10">
        <f>Table5[[#This Row],[$PerTB]]/CompareWarrYrs</f>
        <v>13.29734</v>
      </c>
      <c r="Y91" s="7"/>
      <c r="Z91" s="59"/>
      <c r="AA91" s="60"/>
      <c r="AB91" s="52"/>
    </row>
    <row r="92" spans="1:28">
      <c r="A92" s="1">
        <v>42993</v>
      </c>
      <c r="B92" t="s">
        <v>6</v>
      </c>
      <c r="C92" s="129" t="s">
        <v>31</v>
      </c>
      <c r="D92" s="38"/>
      <c r="E92" s="120">
        <v>2</v>
      </c>
      <c r="F92" s="54">
        <v>5400</v>
      </c>
      <c r="G92" s="5"/>
      <c r="H92" s="5"/>
      <c r="I92" s="87">
        <f>(Table5[[#This Row],[RPM]]/5400-1)</f>
        <v>0</v>
      </c>
      <c r="J92" s="57">
        <v>147</v>
      </c>
      <c r="K92">
        <v>2</v>
      </c>
      <c r="L92" s="48">
        <v>300000</v>
      </c>
      <c r="N92" s="48"/>
      <c r="O92" s="47">
        <f t="shared" si="9"/>
        <v>100000000000000</v>
      </c>
      <c r="P92" s="75">
        <f>12*1.73</f>
        <v>20.759999999999998</v>
      </c>
      <c r="Q92" s="5">
        <v>4.0999999999999996</v>
      </c>
      <c r="R92" s="5">
        <v>3</v>
      </c>
      <c r="S92" s="76">
        <v>0.4</v>
      </c>
      <c r="T92" s="71">
        <f>64.99*0.9</f>
        <v>58.491</v>
      </c>
      <c r="U92" s="10">
        <f>Table5[[#This Row],[Cost]]/Table5[[#This Row],[SizTB]]</f>
        <v>29.2455</v>
      </c>
      <c r="V92" s="11">
        <f>Table5[[#This Row],[Cost]]+((CompareWarrYrs-Table5[[#This Row],[Warnty]])*(Incremental_Warr_Yr*Table5[[#This Row],[Cost]]))</f>
        <v>77.793030000000002</v>
      </c>
      <c r="W92" s="6">
        <f>Table5[[#This Row],[$+Warr]]/Table5[[#This Row],[SizTB]]</f>
        <v>38.896515000000001</v>
      </c>
      <c r="X92" s="10">
        <f>Table5[[#This Row],[$PerTB]]/CompareWarrYrs</f>
        <v>7.7793030000000005</v>
      </c>
      <c r="Y92" s="7"/>
      <c r="Z92" s="59">
        <f>(((Table5[[#This Row],[Watts Active]]*Power_On_Hours_Year/1000)*Active_Duty_Cycle)+((Table5[[#This Row],[Watts Idle]]*Power_On_Hours_Year/1000)*(100%-Active_Duty_Cycle)))*CostPerKWH</f>
        <v>3.5282184000000001</v>
      </c>
      <c r="AA92" s="60">
        <f>Table5[[#This Row],[Energy$year]]/Table5[[#This Row],[SizTB]]</f>
        <v>1.7641092</v>
      </c>
      <c r="AB92" s="52"/>
    </row>
    <row r="93" spans="1:28">
      <c r="A93" s="1">
        <v>42960</v>
      </c>
      <c r="B93" t="s">
        <v>6</v>
      </c>
      <c r="C93" s="129" t="s">
        <v>31</v>
      </c>
      <c r="D93" s="38"/>
      <c r="E93" s="120">
        <v>3</v>
      </c>
      <c r="F93" s="54">
        <v>5400</v>
      </c>
      <c r="G93" s="5"/>
      <c r="H93" s="5"/>
      <c r="I93" s="87">
        <f>(Table5[[#This Row],[RPM]]/5400-1)</f>
        <v>0</v>
      </c>
      <c r="J93" s="57">
        <v>147</v>
      </c>
      <c r="K93">
        <v>2</v>
      </c>
      <c r="L93" s="48">
        <v>300000</v>
      </c>
      <c r="N93" s="48"/>
      <c r="O93" s="47">
        <f t="shared" si="9"/>
        <v>100000000000000</v>
      </c>
      <c r="P93" s="75">
        <f>12*1.73</f>
        <v>20.759999999999998</v>
      </c>
      <c r="Q93" s="5">
        <v>4.0999999999999996</v>
      </c>
      <c r="R93" s="5">
        <v>3</v>
      </c>
      <c r="S93" s="76">
        <v>0.4</v>
      </c>
      <c r="T93" s="71">
        <v>79.989999999999995</v>
      </c>
      <c r="U93" s="10">
        <f>Table5[[#This Row],[Cost]]/Table5[[#This Row],[SizTB]]</f>
        <v>26.66333333333333</v>
      </c>
      <c r="V93" s="11">
        <f>Table5[[#This Row],[Cost]]+((CompareWarrYrs-Table5[[#This Row],[Warnty]])*(Incremental_Warr_Yr*Table5[[#This Row],[Cost]]))</f>
        <v>106.38669999999999</v>
      </c>
      <c r="W93" s="6">
        <f>Table5[[#This Row],[$+Warr]]/Table5[[#This Row],[SizTB]]</f>
        <v>35.46223333333333</v>
      </c>
      <c r="X93" s="10">
        <f>Table5[[#This Row],[$PerTB]]/CompareWarrYrs</f>
        <v>7.0924466666666657</v>
      </c>
      <c r="Y93" s="7"/>
      <c r="Z93" s="59">
        <f>(((Table5[[#This Row],[Watts Active]]*Power_On_Hours_Year/1000)*Active_Duty_Cycle)+((Table5[[#This Row],[Watts Idle]]*Power_On_Hours_Year/1000)*(100%-Active_Duty_Cycle)))*CostPerKWH</f>
        <v>3.5282184000000001</v>
      </c>
      <c r="AA93" s="60">
        <f>Table5[[#This Row],[Energy$year]]/Table5[[#This Row],[SizTB]]</f>
        <v>1.1760728</v>
      </c>
      <c r="AB93" s="52"/>
    </row>
    <row r="94" spans="1:28">
      <c r="A94" s="1">
        <v>43011</v>
      </c>
      <c r="B94" t="s">
        <v>6</v>
      </c>
      <c r="C94" s="129" t="s">
        <v>31</v>
      </c>
      <c r="D94" s="38"/>
      <c r="E94" s="120">
        <v>4</v>
      </c>
      <c r="F94" s="54">
        <v>5400</v>
      </c>
      <c r="G94" s="5"/>
      <c r="H94" s="5"/>
      <c r="I94" s="87">
        <f>(Table5[[#This Row],[RPM]]/5400-1)</f>
        <v>0</v>
      </c>
      <c r="J94" s="57">
        <v>150</v>
      </c>
      <c r="K94">
        <v>2</v>
      </c>
      <c r="L94" s="48">
        <v>300000</v>
      </c>
      <c r="N94" s="48"/>
      <c r="O94" s="47">
        <f t="shared" si="9"/>
        <v>100000000000000</v>
      </c>
      <c r="P94" s="75">
        <f>12*1.75</f>
        <v>21</v>
      </c>
      <c r="Q94" s="5">
        <v>5.3</v>
      </c>
      <c r="R94" s="5">
        <v>3.4</v>
      </c>
      <c r="S94" s="76">
        <v>0.4</v>
      </c>
      <c r="T94" s="71">
        <v>99.99</v>
      </c>
      <c r="U94" s="10">
        <f>Table5[[#This Row],[Cost]]/Table5[[#This Row],[SizTB]]</f>
        <v>24.997499999999999</v>
      </c>
      <c r="V94" s="11">
        <f>Table5[[#This Row],[Cost]]+((CompareWarrYrs-Table5[[#This Row],[Warnty]])*(Incremental_Warr_Yr*Table5[[#This Row],[Cost]]))</f>
        <v>132.98669999999998</v>
      </c>
      <c r="W94" s="6">
        <f>Table5[[#This Row],[$+Warr]]/Table5[[#This Row],[SizTB]]</f>
        <v>33.246674999999996</v>
      </c>
      <c r="X94" s="10">
        <f>Table5[[#This Row],[$PerTB]]/CompareWarrYrs</f>
        <v>6.6493349999999989</v>
      </c>
      <c r="Y94" s="7"/>
      <c r="Z94" s="59">
        <f>(((Table5[[#This Row],[Watts Active]]*Power_On_Hours_Year/1000)*Active_Duty_Cycle)+((Table5[[#This Row],[Watts Idle]]*Power_On_Hours_Year/1000)*(100%-Active_Duty_Cycle)))*CostPerKWH</f>
        <v>4.1418216000000001</v>
      </c>
      <c r="AA94" s="60">
        <f>Table5[[#This Row],[Energy$year]]/Table5[[#This Row],[SizTB]]</f>
        <v>1.0354554</v>
      </c>
      <c r="AB94" s="52"/>
    </row>
    <row r="95" spans="1:28">
      <c r="A95" s="1">
        <v>42960</v>
      </c>
      <c r="B95" t="s">
        <v>6</v>
      </c>
      <c r="C95" s="129" t="s">
        <v>31</v>
      </c>
      <c r="D95" s="38"/>
      <c r="E95" s="120">
        <v>5</v>
      </c>
      <c r="F95" s="54">
        <v>5400</v>
      </c>
      <c r="G95" s="5"/>
      <c r="H95" s="5"/>
      <c r="I95" s="87">
        <f>(Table5[[#This Row],[RPM]]/5400-1)</f>
        <v>0</v>
      </c>
      <c r="J95" s="57">
        <v>170</v>
      </c>
      <c r="K95">
        <v>2</v>
      </c>
      <c r="L95" s="48">
        <v>300000</v>
      </c>
      <c r="N95" s="48"/>
      <c r="O95" s="47">
        <f t="shared" si="9"/>
        <v>100000000000000</v>
      </c>
      <c r="P95" s="75">
        <f>12*1.75</f>
        <v>21</v>
      </c>
      <c r="Q95" s="5">
        <v>5.3</v>
      </c>
      <c r="R95" s="5">
        <v>3.4</v>
      </c>
      <c r="S95" s="76">
        <v>0.4</v>
      </c>
      <c r="T95" s="71">
        <v>235.89</v>
      </c>
      <c r="U95" s="10">
        <f>Table5[[#This Row],[Cost]]/Table5[[#This Row],[SizTB]]</f>
        <v>47.177999999999997</v>
      </c>
      <c r="V95" s="11">
        <f>Table5[[#This Row],[Cost]]+((CompareWarrYrs-Table5[[#This Row],[Warnty]])*(Incremental_Warr_Yr*Table5[[#This Row],[Cost]]))</f>
        <v>313.7337</v>
      </c>
      <c r="W95" s="6">
        <f>Table5[[#This Row],[$+Warr]]/Table5[[#This Row],[SizTB]]</f>
        <v>62.746740000000003</v>
      </c>
      <c r="X95" s="10">
        <f>Table5[[#This Row],[$PerTB]]/CompareWarrYrs</f>
        <v>12.549348</v>
      </c>
      <c r="Y95" s="7"/>
      <c r="Z95" s="59">
        <f>(((Table5[[#This Row],[Watts Active]]*Power_On_Hours_Year/1000)*Active_Duty_Cycle)+((Table5[[#This Row],[Watts Idle]]*Power_On_Hours_Year/1000)*(100%-Active_Duty_Cycle)))*CostPerKWH</f>
        <v>4.1418216000000001</v>
      </c>
      <c r="AA95" s="60">
        <f>Table5[[#This Row],[Energy$year]]/Table5[[#This Row],[SizTB]]</f>
        <v>0.82836432000000004</v>
      </c>
      <c r="AB95" s="52"/>
    </row>
    <row r="96" spans="1:28">
      <c r="A96" s="1">
        <v>43008</v>
      </c>
      <c r="B96" t="s">
        <v>6</v>
      </c>
      <c r="C96" s="129" t="s">
        <v>31</v>
      </c>
      <c r="D96" s="38"/>
      <c r="E96" s="120">
        <v>6</v>
      </c>
      <c r="F96" s="54">
        <v>5400</v>
      </c>
      <c r="G96" s="5"/>
      <c r="H96" s="5"/>
      <c r="I96" s="87">
        <f>(Table5[[#This Row],[RPM]]/5400-1)</f>
        <v>0</v>
      </c>
      <c r="J96" s="57">
        <v>175</v>
      </c>
      <c r="K96">
        <v>2</v>
      </c>
      <c r="L96" s="48">
        <v>300000</v>
      </c>
      <c r="N96" s="48"/>
      <c r="O96" s="47">
        <f t="shared" si="9"/>
        <v>100000000000000</v>
      </c>
      <c r="P96" s="75">
        <f>12*1.75</f>
        <v>21</v>
      </c>
      <c r="Q96" s="5">
        <v>5.3</v>
      </c>
      <c r="R96" s="5">
        <v>3.4</v>
      </c>
      <c r="S96" s="76">
        <v>0.4</v>
      </c>
      <c r="T96" s="71">
        <v>196.99</v>
      </c>
      <c r="U96" s="10">
        <f>Table5[[#This Row],[Cost]]/Table5[[#This Row],[SizTB]]</f>
        <v>32.831666666666671</v>
      </c>
      <c r="V96" s="11">
        <f>Table5[[#This Row],[Cost]]+((CompareWarrYrs-Table5[[#This Row],[Warnty]])*(Incremental_Warr_Yr*Table5[[#This Row],[Cost]]))</f>
        <v>261.99670000000003</v>
      </c>
      <c r="W96" s="6">
        <f>Table5[[#This Row],[$+Warr]]/Table5[[#This Row],[SizTB]]</f>
        <v>43.666116666666674</v>
      </c>
      <c r="X96" s="10">
        <f>Table5[[#This Row],[$PerTB]]/CompareWarrYrs</f>
        <v>8.7332233333333349</v>
      </c>
      <c r="Y96" s="7"/>
      <c r="Z96" s="59">
        <f>(((Table5[[#This Row],[Watts Active]]*Power_On_Hours_Year/1000)*Active_Duty_Cycle)+((Table5[[#This Row],[Watts Idle]]*Power_On_Hours_Year/1000)*(100%-Active_Duty_Cycle)))*CostPerKWH</f>
        <v>4.1418216000000001</v>
      </c>
      <c r="AA96" s="60">
        <f>Table5[[#This Row],[Energy$year]]/Table5[[#This Row],[SizTB]]</f>
        <v>0.69030360000000002</v>
      </c>
      <c r="AB96" s="52"/>
    </row>
    <row r="97" spans="1:28">
      <c r="A97" s="1">
        <v>42960</v>
      </c>
      <c r="B97" t="s">
        <v>6</v>
      </c>
      <c r="C97" s="129" t="s">
        <v>67</v>
      </c>
      <c r="D97" s="38"/>
      <c r="E97" s="120">
        <v>1</v>
      </c>
      <c r="F97" s="54">
        <v>5400</v>
      </c>
      <c r="G97" s="5"/>
      <c r="H97" s="5"/>
      <c r="I97" s="87">
        <f>(Table5[[#This Row],[RPM]]/5400-1)</f>
        <v>0</v>
      </c>
      <c r="J97" s="57"/>
      <c r="K97">
        <v>2</v>
      </c>
      <c r="L97" s="48">
        <v>600000</v>
      </c>
      <c r="N97" s="48"/>
      <c r="O97" s="47">
        <f t="shared" si="9"/>
        <v>100000000000000</v>
      </c>
      <c r="P97" s="75">
        <v>5</v>
      </c>
      <c r="Q97" s="5">
        <v>1.5</v>
      </c>
      <c r="R97" s="5">
        <v>0.5</v>
      </c>
      <c r="S97" s="76">
        <v>0.1</v>
      </c>
      <c r="T97" s="71">
        <v>55.99</v>
      </c>
      <c r="U97" s="10">
        <f>Table5[[#This Row],[Cost]]/Table5[[#This Row],[SizTB]]</f>
        <v>55.99</v>
      </c>
      <c r="V97" s="11">
        <f>Table5[[#This Row],[Cost]]+((CompareWarrYrs-Table5[[#This Row],[Warnty]])*(Incremental_Warr_Yr*Table5[[#This Row],[Cost]]))</f>
        <v>74.466700000000003</v>
      </c>
      <c r="W97" s="6">
        <f>Table5[[#This Row],[$+Warr]]/Table5[[#This Row],[SizTB]]</f>
        <v>74.466700000000003</v>
      </c>
      <c r="X97" s="10">
        <f>Table5[[#This Row],[$PerTB]]/CompareWarrYrs</f>
        <v>14.89334</v>
      </c>
      <c r="Y97" s="7"/>
      <c r="Z97" s="59">
        <f>(((Table5[[#This Row],[Watts Active]]*Power_On_Hours_Year/1000)*Active_Duty_Cycle)+((Table5[[#This Row],[Watts Idle]]*Power_On_Hours_Year/1000)*(100%-Active_Duty_Cycle)))*CostPerKWH</f>
        <v>0.76700400000000002</v>
      </c>
      <c r="AA97" s="60">
        <f>Table5[[#This Row],[Energy$year]]/Table5[[#This Row],[SizTB]]</f>
        <v>0.76700400000000002</v>
      </c>
      <c r="AB97" s="52"/>
    </row>
    <row r="98" spans="1:28">
      <c r="A98" s="1">
        <v>42960</v>
      </c>
      <c r="B98" t="s">
        <v>6</v>
      </c>
      <c r="C98" s="129" t="s">
        <v>67</v>
      </c>
      <c r="D98" s="38"/>
      <c r="E98" s="120">
        <v>2</v>
      </c>
      <c r="F98" s="54">
        <v>5400</v>
      </c>
      <c r="G98" s="5"/>
      <c r="H98" s="5"/>
      <c r="I98" s="87">
        <f>(Table5[[#This Row],[RPM]]/5400-1)</f>
        <v>0</v>
      </c>
      <c r="J98" s="57"/>
      <c r="K98">
        <v>2</v>
      </c>
      <c r="L98" s="48">
        <v>600000</v>
      </c>
      <c r="N98" s="48"/>
      <c r="O98" s="47">
        <f t="shared" si="9"/>
        <v>100000000000000</v>
      </c>
      <c r="P98" s="75">
        <v>5</v>
      </c>
      <c r="Q98" s="5">
        <v>1.7</v>
      </c>
      <c r="R98" s="5">
        <v>0.8</v>
      </c>
      <c r="S98" s="76">
        <v>0.2</v>
      </c>
      <c r="T98" s="71">
        <v>141.99</v>
      </c>
      <c r="U98" s="10">
        <f>Table5[[#This Row],[Cost]]/Table5[[#This Row],[SizTB]]</f>
        <v>70.995000000000005</v>
      </c>
      <c r="V98" s="11">
        <f>Table5[[#This Row],[Cost]]+((CompareWarrYrs-Table5[[#This Row],[Warnty]])*(Incremental_Warr_Yr*Table5[[#This Row],[Cost]]))</f>
        <v>188.8467</v>
      </c>
      <c r="W98" s="6">
        <f>Table5[[#This Row],[$+Warr]]/Table5[[#This Row],[SizTB]]</f>
        <v>94.423349999999999</v>
      </c>
      <c r="X98" s="10">
        <f>Table5[[#This Row],[$PerTB]]/CompareWarrYrs</f>
        <v>18.88467</v>
      </c>
      <c r="Y98" s="7"/>
      <c r="Z98" s="59">
        <f>(((Table5[[#This Row],[Watts Active]]*Power_On_Hours_Year/1000)*Active_Duty_Cycle)+((Table5[[#This Row],[Watts Idle]]*Power_On_Hours_Year/1000)*(100%-Active_Duty_Cycle)))*CostPerKWH</f>
        <v>1.0738056</v>
      </c>
      <c r="AA98" s="60">
        <f>Table5[[#This Row],[Energy$year]]/Table5[[#This Row],[SizTB]]</f>
        <v>0.53690280000000001</v>
      </c>
      <c r="AB98" s="52"/>
    </row>
    <row r="99" spans="1:28">
      <c r="A99" s="1">
        <v>43000</v>
      </c>
      <c r="B99" t="s">
        <v>6</v>
      </c>
      <c r="C99" s="129" t="s">
        <v>70</v>
      </c>
      <c r="D99" s="38" t="s">
        <v>60</v>
      </c>
      <c r="E99" s="120">
        <v>1</v>
      </c>
      <c r="F99" s="54">
        <v>7200</v>
      </c>
      <c r="G99" s="5"/>
      <c r="H99" s="5"/>
      <c r="I99" s="87">
        <f>(Table5[[#This Row],[RPM]]/5400-1)</f>
        <v>0.33333333333333326</v>
      </c>
      <c r="J99" s="57">
        <v>184</v>
      </c>
      <c r="K99">
        <v>5</v>
      </c>
      <c r="L99" s="48">
        <v>600000</v>
      </c>
      <c r="M99">
        <v>550</v>
      </c>
      <c r="N99" s="48">
        <v>2000000</v>
      </c>
      <c r="O99" s="47">
        <v>1000000000000000</v>
      </c>
      <c r="P99" s="75"/>
      <c r="Q99" s="5">
        <v>8.1</v>
      </c>
      <c r="R99" s="5">
        <v>5.9</v>
      </c>
      <c r="S99" s="76"/>
      <c r="T99" s="71">
        <v>84.99</v>
      </c>
      <c r="U99" s="10">
        <f>Table5[[#This Row],[Cost]]/Table5[[#This Row],[SizTB]]</f>
        <v>84.99</v>
      </c>
      <c r="V99" s="11">
        <f>Table5[[#This Row],[Cost]]+((CompareWarrYrs-Table5[[#This Row],[Warnty]])*(Incremental_Warr_Yr*Table5[[#This Row],[Cost]]))</f>
        <v>84.99</v>
      </c>
      <c r="W99" s="6">
        <f>Table5[[#This Row],[$+Warr]]/Table5[[#This Row],[SizTB]]</f>
        <v>84.99</v>
      </c>
      <c r="X99" s="10">
        <f>Table5[[#This Row],[$PerTB]]/CompareWarrYrs</f>
        <v>16.997999999999998</v>
      </c>
      <c r="Y99" s="7"/>
      <c r="Z99" s="59">
        <f>(((Table5[[#This Row],[Watts Active]]*Power_On_Hours_Year/1000)*Active_Duty_Cycle)+((Table5[[#This Row],[Watts Idle]]*Power_On_Hours_Year/1000)*(100%-Active_Duty_Cycle)))*CostPerKWH</f>
        <v>6.9468648000000002</v>
      </c>
      <c r="AA99" s="60">
        <f>Table5[[#This Row],[Energy$year]]/Table5[[#This Row],[SizTB]]</f>
        <v>6.9468648000000002</v>
      </c>
      <c r="AB99" s="52"/>
    </row>
    <row r="100" spans="1:28">
      <c r="A100" s="1">
        <v>43008</v>
      </c>
      <c r="B100" t="s">
        <v>6</v>
      </c>
      <c r="C100" s="129" t="s">
        <v>70</v>
      </c>
      <c r="D100" s="38" t="s">
        <v>60</v>
      </c>
      <c r="E100" s="120">
        <v>2</v>
      </c>
      <c r="F100" s="54">
        <v>7200</v>
      </c>
      <c r="G100" s="5"/>
      <c r="H100" s="5"/>
      <c r="I100" s="87">
        <f>(Table5[[#This Row],[RPM]]/5400-1)</f>
        <v>0.33333333333333326</v>
      </c>
      <c r="J100" s="57">
        <v>200</v>
      </c>
      <c r="K100">
        <v>5</v>
      </c>
      <c r="L100" s="48">
        <v>600000</v>
      </c>
      <c r="M100">
        <v>550</v>
      </c>
      <c r="N100" s="48">
        <v>2000000</v>
      </c>
      <c r="O100" s="47">
        <v>1000000000000000</v>
      </c>
      <c r="P100" s="75"/>
      <c r="Q100" s="5">
        <v>8.1</v>
      </c>
      <c r="R100" s="5">
        <v>5.9</v>
      </c>
      <c r="S100" s="76"/>
      <c r="T100" s="71">
        <v>119.99</v>
      </c>
      <c r="U100" s="10">
        <f>Table5[[#This Row],[Cost]]/Table5[[#This Row],[SizTB]]</f>
        <v>59.994999999999997</v>
      </c>
      <c r="V100" s="11">
        <f>Table5[[#This Row],[Cost]]+((CompareWarrYrs-Table5[[#This Row],[Warnty]])*(Incremental_Warr_Yr*Table5[[#This Row],[Cost]]))</f>
        <v>119.99</v>
      </c>
      <c r="W100" s="6">
        <f>Table5[[#This Row],[$+Warr]]/Table5[[#This Row],[SizTB]]</f>
        <v>59.994999999999997</v>
      </c>
      <c r="X100" s="10">
        <f>Table5[[#This Row],[$PerTB]]/CompareWarrYrs</f>
        <v>11.998999999999999</v>
      </c>
      <c r="Y100" s="7"/>
      <c r="Z100" s="59">
        <f>(((Table5[[#This Row],[Watts Active]]*Power_On_Hours_Year/1000)*Active_Duty_Cycle)+((Table5[[#This Row],[Watts Idle]]*Power_On_Hours_Year/1000)*(100%-Active_Duty_Cycle)))*CostPerKWH</f>
        <v>6.9468648000000002</v>
      </c>
      <c r="AA100" s="60">
        <f>Table5[[#This Row],[Energy$year]]/Table5[[#This Row],[SizTB]]</f>
        <v>3.4734324000000001</v>
      </c>
      <c r="AB100" s="52"/>
    </row>
    <row r="101" spans="1:28">
      <c r="A101" s="1">
        <v>43008</v>
      </c>
      <c r="B101" t="s">
        <v>6</v>
      </c>
      <c r="C101" s="129" t="s">
        <v>70</v>
      </c>
      <c r="D101" s="38" t="s">
        <v>60</v>
      </c>
      <c r="E101" s="120">
        <v>4</v>
      </c>
      <c r="F101" s="54">
        <v>7200</v>
      </c>
      <c r="G101" s="5"/>
      <c r="H101" s="5"/>
      <c r="I101" s="87">
        <f>(Table5[[#This Row],[RPM]]/5400-1)</f>
        <v>0.33333333333333326</v>
      </c>
      <c r="J101" s="57">
        <v>201</v>
      </c>
      <c r="K101">
        <v>5</v>
      </c>
      <c r="L101" s="48">
        <v>600000</v>
      </c>
      <c r="M101">
        <v>550</v>
      </c>
      <c r="N101" s="48">
        <v>2000000</v>
      </c>
      <c r="O101" s="47">
        <v>1000000000000000</v>
      </c>
      <c r="P101" s="75"/>
      <c r="Q101" s="5">
        <v>9</v>
      </c>
      <c r="R101" s="5">
        <v>7</v>
      </c>
      <c r="S101" s="76"/>
      <c r="T101" s="71">
        <v>169.99</v>
      </c>
      <c r="U101" s="10">
        <f>Table5[[#This Row],[Cost]]/Table5[[#This Row],[SizTB]]</f>
        <v>42.497500000000002</v>
      </c>
      <c r="V101" s="11">
        <f>Table5[[#This Row],[Cost]]+((CompareWarrYrs-Table5[[#This Row],[Warnty]])*(Incremental_Warr_Yr*Table5[[#This Row],[Cost]]))</f>
        <v>169.99</v>
      </c>
      <c r="W101" s="6">
        <f>Table5[[#This Row],[$+Warr]]/Table5[[#This Row],[SizTB]]</f>
        <v>42.497500000000002</v>
      </c>
      <c r="X101" s="10">
        <f>Table5[[#This Row],[$PerTB]]/CompareWarrYrs</f>
        <v>8.4995000000000012</v>
      </c>
      <c r="Y101" s="7"/>
      <c r="Z101" s="59">
        <f>(((Table5[[#This Row],[Watts Active]]*Power_On_Hours_Year/1000)*Active_Duty_Cycle)+((Table5[[#This Row],[Watts Idle]]*Power_On_Hours_Year/1000)*(100%-Active_Duty_Cycle)))*CostPerKWH</f>
        <v>8.1083280000000002</v>
      </c>
      <c r="AA101" s="60">
        <f>Table5[[#This Row],[Energy$year]]/Table5[[#This Row],[SizTB]]</f>
        <v>2.0270820000000001</v>
      </c>
      <c r="AB101" s="52"/>
    </row>
    <row r="102" spans="1:28">
      <c r="A102" s="1">
        <v>43008</v>
      </c>
      <c r="B102" t="s">
        <v>6</v>
      </c>
      <c r="C102" s="129" t="s">
        <v>70</v>
      </c>
      <c r="D102" s="38" t="s">
        <v>60</v>
      </c>
      <c r="E102" s="120">
        <v>6</v>
      </c>
      <c r="F102" s="54">
        <v>7200</v>
      </c>
      <c r="G102" s="5"/>
      <c r="H102" s="5"/>
      <c r="I102" s="87">
        <f>(Table5[[#This Row],[RPM]]/5400-1)</f>
        <v>0.33333333333333326</v>
      </c>
      <c r="J102" s="57">
        <v>226</v>
      </c>
      <c r="K102">
        <v>5</v>
      </c>
      <c r="L102" s="48">
        <v>600000</v>
      </c>
      <c r="M102">
        <v>550</v>
      </c>
      <c r="N102" s="48">
        <v>2000000</v>
      </c>
      <c r="O102" s="47">
        <v>1000000000000000</v>
      </c>
      <c r="P102" s="75"/>
      <c r="Q102" s="5">
        <v>9.3000000000000007</v>
      </c>
      <c r="R102" s="5">
        <v>7.1</v>
      </c>
      <c r="S102" s="76"/>
      <c r="T102" s="71">
        <v>239.99</v>
      </c>
      <c r="U102" s="10">
        <f>Table5[[#This Row],[Cost]]/Table5[[#This Row],[SizTB]]</f>
        <v>39.998333333333335</v>
      </c>
      <c r="V102" s="11">
        <f>Table5[[#This Row],[Cost]]+((CompareWarrYrs-Table5[[#This Row],[Warnty]])*(Incremental_Warr_Yr*Table5[[#This Row],[Cost]]))</f>
        <v>239.99</v>
      </c>
      <c r="W102" s="6">
        <f>Table5[[#This Row],[$+Warr]]/Table5[[#This Row],[SizTB]]</f>
        <v>39.998333333333335</v>
      </c>
      <c r="X102" s="10">
        <f>Table5[[#This Row],[$PerTB]]/CompareWarrYrs</f>
        <v>7.9996666666666671</v>
      </c>
      <c r="Y102" s="7"/>
      <c r="Z102" s="59">
        <f>(((Table5[[#This Row],[Watts Active]]*Power_On_Hours_Year/1000)*Active_Duty_Cycle)+((Table5[[#This Row],[Watts Idle]]*Power_On_Hours_Year/1000)*(100%-Active_Duty_Cycle)))*CostPerKWH</f>
        <v>8.2617288000000002</v>
      </c>
      <c r="AA102" s="60">
        <f>Table5[[#This Row],[Energy$year]]/Table5[[#This Row],[SizTB]]</f>
        <v>1.3769548</v>
      </c>
      <c r="AB102" s="52" t="s">
        <v>90</v>
      </c>
    </row>
    <row r="103" spans="1:28">
      <c r="A103" s="1">
        <v>43008</v>
      </c>
      <c r="B103" t="s">
        <v>6</v>
      </c>
      <c r="C103" s="129" t="s">
        <v>70</v>
      </c>
      <c r="D103" s="38" t="s">
        <v>60</v>
      </c>
      <c r="E103" s="120">
        <v>8</v>
      </c>
      <c r="F103" s="54">
        <v>7200</v>
      </c>
      <c r="G103" s="5"/>
      <c r="H103" s="5"/>
      <c r="I103" s="87">
        <f>(Table5[[#This Row],[RPM]]/5400-1)</f>
        <v>0.33333333333333326</v>
      </c>
      <c r="J103" s="57">
        <v>205</v>
      </c>
      <c r="K103">
        <v>5</v>
      </c>
      <c r="L103" s="48">
        <v>600000</v>
      </c>
      <c r="M103">
        <v>550</v>
      </c>
      <c r="N103" s="48">
        <v>2500000</v>
      </c>
      <c r="O103" s="47">
        <v>1000000000000000</v>
      </c>
      <c r="P103" s="75"/>
      <c r="Q103" s="5">
        <v>7.2</v>
      </c>
      <c r="R103" s="5">
        <v>5.0999999999999996</v>
      </c>
      <c r="S103" s="76"/>
      <c r="T103" s="71">
        <v>339.99</v>
      </c>
      <c r="U103" s="10">
        <f>Table5[[#This Row],[Cost]]/Table5[[#This Row],[SizTB]]</f>
        <v>42.498750000000001</v>
      </c>
      <c r="V103" s="11">
        <f>Table5[[#This Row],[Cost]]+((CompareWarrYrs-Table5[[#This Row],[Warnty]])*(Incremental_Warr_Yr*Table5[[#This Row],[Cost]]))</f>
        <v>339.99</v>
      </c>
      <c r="W103" s="6">
        <f>Table5[[#This Row],[$+Warr]]/Table5[[#This Row],[SizTB]]</f>
        <v>42.498750000000001</v>
      </c>
      <c r="X103" s="10">
        <f>Table5[[#This Row],[$PerTB]]/CompareWarrYrs</f>
        <v>8.4997500000000006</v>
      </c>
      <c r="Y103" s="7"/>
      <c r="Z103" s="59">
        <f>(((Table5[[#This Row],[Watts Active]]*Power_On_Hours_Year/1000)*Active_Duty_Cycle)+((Table5[[#This Row],[Watts Idle]]*Power_On_Hours_Year/1000)*(100%-Active_Duty_Cycle)))*CostPerKWH</f>
        <v>6.0483743999999993</v>
      </c>
      <c r="AA103" s="60">
        <f>Table5[[#This Row],[Energy$year]]/Table5[[#This Row],[SizTB]]</f>
        <v>0.75604679999999991</v>
      </c>
      <c r="AB103" s="52" t="s">
        <v>43</v>
      </c>
    </row>
    <row r="104" spans="1:28">
      <c r="A104" s="1">
        <v>43008</v>
      </c>
      <c r="B104" t="s">
        <v>6</v>
      </c>
      <c r="C104" s="129" t="s">
        <v>70</v>
      </c>
      <c r="D104" s="38" t="s">
        <v>60</v>
      </c>
      <c r="E104" s="120">
        <v>10</v>
      </c>
      <c r="F104" s="54">
        <v>7200</v>
      </c>
      <c r="G104" s="5"/>
      <c r="H104" s="5"/>
      <c r="I104" s="87">
        <f>(Table5[[#This Row],[RPM]]/5400-1)</f>
        <v>0.33333333333333326</v>
      </c>
      <c r="J104" s="57">
        <v>249</v>
      </c>
      <c r="K104">
        <v>5</v>
      </c>
      <c r="L104" s="48">
        <v>600000</v>
      </c>
      <c r="M104">
        <v>550</v>
      </c>
      <c r="N104" s="48">
        <v>2500000</v>
      </c>
      <c r="O104" s="47">
        <v>1000000000000000</v>
      </c>
      <c r="P104" s="75"/>
      <c r="Q104" s="5">
        <v>7.1</v>
      </c>
      <c r="R104" s="5">
        <v>5</v>
      </c>
      <c r="S104" s="76"/>
      <c r="T104" s="71">
        <v>414.99</v>
      </c>
      <c r="U104" s="10">
        <f>Table5[[#This Row],[Cost]]/Table5[[#This Row],[SizTB]]</f>
        <v>41.499000000000002</v>
      </c>
      <c r="V104" s="11">
        <f>Table5[[#This Row],[Cost]]+((CompareWarrYrs-Table5[[#This Row],[Warnty]])*(Incremental_Warr_Yr*Table5[[#This Row],[Cost]]))</f>
        <v>414.99</v>
      </c>
      <c r="W104" s="6">
        <f>Table5[[#This Row],[$+Warr]]/Table5[[#This Row],[SizTB]]</f>
        <v>41.499000000000002</v>
      </c>
      <c r="X104" s="10">
        <f>Table5[[#This Row],[$PerTB]]/CompareWarrYrs</f>
        <v>8.2998000000000012</v>
      </c>
      <c r="Y104" s="7"/>
      <c r="Z104" s="59">
        <f>(((Table5[[#This Row],[Watts Active]]*Power_On_Hours_Year/1000)*Active_Duty_Cycle)+((Table5[[#This Row],[Watts Idle]]*Power_On_Hours_Year/1000)*(100%-Active_Duty_Cycle)))*CostPerKWH</f>
        <v>5.9388024000000001</v>
      </c>
      <c r="AA104" s="60">
        <f>Table5[[#This Row],[Energy$year]]/Table5[[#This Row],[SizTB]]</f>
        <v>0.59388024000000006</v>
      </c>
      <c r="AB104" s="52" t="s">
        <v>43</v>
      </c>
    </row>
    <row r="105" spans="1:28">
      <c r="A105" s="1">
        <v>43008</v>
      </c>
      <c r="B105" t="s">
        <v>6</v>
      </c>
      <c r="C105" s="129" t="s">
        <v>70</v>
      </c>
      <c r="D105" s="38" t="s">
        <v>60</v>
      </c>
      <c r="E105" s="120">
        <v>12</v>
      </c>
      <c r="F105" s="54">
        <v>7200</v>
      </c>
      <c r="G105" s="5"/>
      <c r="H105" s="5"/>
      <c r="I105" s="87">
        <f>(Table5[[#This Row],[RPM]]/5400-1)</f>
        <v>0.33333333333333326</v>
      </c>
      <c r="J105" s="57">
        <v>255</v>
      </c>
      <c r="K105">
        <v>5</v>
      </c>
      <c r="L105" s="48">
        <v>600000</v>
      </c>
      <c r="M105">
        <v>550</v>
      </c>
      <c r="N105" s="48">
        <v>2500000</v>
      </c>
      <c r="O105" s="47">
        <v>1000000000000000</v>
      </c>
      <c r="P105" s="75"/>
      <c r="Q105" s="5">
        <v>7</v>
      </c>
      <c r="R105" s="5">
        <v>5</v>
      </c>
      <c r="S105" s="76"/>
      <c r="T105" s="71">
        <v>539.99</v>
      </c>
      <c r="U105" s="10">
        <f>Table5[[#This Row],[Cost]]/Table5[[#This Row],[SizTB]]</f>
        <v>44.999166666666667</v>
      </c>
      <c r="V105" s="11">
        <f>Table5[[#This Row],[Cost]]+((CompareWarrYrs-Table5[[#This Row],[Warnty]])*(Incremental_Warr_Yr*Table5[[#This Row],[Cost]]))</f>
        <v>539.99</v>
      </c>
      <c r="W105" s="6">
        <f>Table5[[#This Row],[$+Warr]]/Table5[[#This Row],[SizTB]]</f>
        <v>44.999166666666667</v>
      </c>
      <c r="X105" s="10">
        <f>Table5[[#This Row],[$PerTB]]/CompareWarrYrs</f>
        <v>8.9998333333333331</v>
      </c>
      <c r="Y105" s="7"/>
      <c r="Z105" s="59">
        <f>(((Table5[[#This Row],[Watts Active]]*Power_On_Hours_Year/1000)*Active_Duty_Cycle)+((Table5[[#This Row],[Watts Idle]]*Power_On_Hours_Year/1000)*(100%-Active_Duty_Cycle)))*CostPerKWH</f>
        <v>5.9168880000000001</v>
      </c>
      <c r="AA105" s="60">
        <f>Table5[[#This Row],[Energy$year]]/Table5[[#This Row],[SizTB]]</f>
        <v>0.49307400000000001</v>
      </c>
      <c r="AB105" s="52" t="s">
        <v>43</v>
      </c>
    </row>
    <row r="106" spans="1:28">
      <c r="A106" s="1">
        <v>43004</v>
      </c>
      <c r="B106" t="s">
        <v>6</v>
      </c>
      <c r="C106" s="129" t="s">
        <v>68</v>
      </c>
      <c r="D106" s="38" t="s">
        <v>60</v>
      </c>
      <c r="E106" s="120">
        <v>1</v>
      </c>
      <c r="F106" s="54">
        <v>5400</v>
      </c>
      <c r="G106" s="5"/>
      <c r="H106" s="5"/>
      <c r="I106" s="87">
        <f>(Table5[[#This Row],[RPM]]/5400-1)</f>
        <v>0</v>
      </c>
      <c r="J106" s="57">
        <v>150</v>
      </c>
      <c r="K106">
        <v>3</v>
      </c>
      <c r="L106" s="48">
        <v>600000</v>
      </c>
      <c r="M106">
        <v>180</v>
      </c>
      <c r="N106" s="48">
        <v>1000000</v>
      </c>
      <c r="O106" s="47">
        <f>10^14</f>
        <v>100000000000000</v>
      </c>
      <c r="P106" s="75">
        <f>12*1.2</f>
        <v>14.399999999999999</v>
      </c>
      <c r="Q106" s="5">
        <v>3.3</v>
      </c>
      <c r="R106" s="5">
        <v>2.2999999999999998</v>
      </c>
      <c r="S106" s="76">
        <v>0.4</v>
      </c>
      <c r="T106" s="71">
        <v>54.99</v>
      </c>
      <c r="U106" s="10">
        <f>Table5[[#This Row],[Cost]]/Table5[[#This Row],[SizTB]]</f>
        <v>54.99</v>
      </c>
      <c r="V106" s="11">
        <f>Table5[[#This Row],[Cost]]+((CompareWarrYrs-Table5[[#This Row],[Warnty]])*(Incremental_Warr_Yr*Table5[[#This Row],[Cost]]))</f>
        <v>67.087800000000001</v>
      </c>
      <c r="W106" s="6">
        <f>Table5[[#This Row],[$+Warr]]/Table5[[#This Row],[SizTB]]</f>
        <v>67.087800000000001</v>
      </c>
      <c r="X106" s="10">
        <f>Table5[[#This Row],[$PerTB]]/CompareWarrYrs</f>
        <v>13.41756</v>
      </c>
      <c r="Y106" s="7"/>
      <c r="Z106" s="59">
        <f>(((Table5[[#This Row],[Watts Active]]*Power_On_Hours_Year/1000)*Active_Duty_Cycle)+((Table5[[#This Row],[Watts Idle]]*Power_On_Hours_Year/1000)*(100%-Active_Duty_Cycle)))*CostPerKWH</f>
        <v>2.7393000000000001</v>
      </c>
      <c r="AA106" s="60">
        <f>Table5[[#This Row],[Energy$year]]/Table5[[#This Row],[SizTB]]</f>
        <v>2.7393000000000001</v>
      </c>
      <c r="AB106" s="52"/>
    </row>
    <row r="107" spans="1:28">
      <c r="A107" s="1">
        <v>43004</v>
      </c>
      <c r="B107" t="s">
        <v>6</v>
      </c>
      <c r="C107" s="129" t="s">
        <v>68</v>
      </c>
      <c r="D107" s="38" t="s">
        <v>60</v>
      </c>
      <c r="E107" s="120">
        <v>2</v>
      </c>
      <c r="F107" s="54">
        <v>5400</v>
      </c>
      <c r="G107" s="5"/>
      <c r="H107" s="5"/>
      <c r="I107" s="87">
        <f>(Table5[[#This Row],[RPM]]/5400-1)</f>
        <v>0</v>
      </c>
      <c r="J107" s="57">
        <v>147</v>
      </c>
      <c r="K107">
        <v>3</v>
      </c>
      <c r="L107" s="48">
        <v>600000</v>
      </c>
      <c r="M107">
        <v>180</v>
      </c>
      <c r="N107" s="48">
        <v>1000000</v>
      </c>
      <c r="O107" s="47">
        <f t="shared" ref="O107:O115" si="10">10^14</f>
        <v>100000000000000</v>
      </c>
      <c r="P107" s="75">
        <f>12*1.73</f>
        <v>20.759999999999998</v>
      </c>
      <c r="Q107" s="5">
        <v>4.0999999999999996</v>
      </c>
      <c r="R107" s="5">
        <v>2.7</v>
      </c>
      <c r="S107" s="76">
        <v>0.4</v>
      </c>
      <c r="T107" s="71">
        <v>84.99</v>
      </c>
      <c r="U107" s="10">
        <f>Table5[[#This Row],[Cost]]/Table5[[#This Row],[SizTB]]</f>
        <v>42.494999999999997</v>
      </c>
      <c r="V107" s="11">
        <f>Table5[[#This Row],[Cost]]+((CompareWarrYrs-Table5[[#This Row],[Warnty]])*(Incremental_Warr_Yr*Table5[[#This Row],[Cost]]))</f>
        <v>103.6878</v>
      </c>
      <c r="W107" s="6">
        <f>Table5[[#This Row],[$+Warr]]/Table5[[#This Row],[SizTB]]</f>
        <v>51.843899999999998</v>
      </c>
      <c r="X107" s="10">
        <f>Table5[[#This Row],[$PerTB]]/CompareWarrYrs</f>
        <v>10.368779999999999</v>
      </c>
      <c r="Y107" s="7"/>
      <c r="Z107" s="59">
        <f>(((Table5[[#This Row],[Watts Active]]*Power_On_Hours_Year/1000)*Active_Duty_Cycle)+((Table5[[#This Row],[Watts Idle]]*Power_On_Hours_Year/1000)*(100%-Active_Duty_Cycle)))*CostPerKWH</f>
        <v>3.2652456000000005</v>
      </c>
      <c r="AA107" s="60">
        <f>Table5[[#This Row],[Energy$year]]/Table5[[#This Row],[SizTB]]</f>
        <v>1.6326228000000003</v>
      </c>
      <c r="AB107" s="52"/>
    </row>
    <row r="108" spans="1:28">
      <c r="A108" s="1">
        <v>43004</v>
      </c>
      <c r="B108" t="s">
        <v>6</v>
      </c>
      <c r="C108" s="129" t="s">
        <v>68</v>
      </c>
      <c r="D108" s="38" t="s">
        <v>60</v>
      </c>
      <c r="E108" s="120">
        <v>3</v>
      </c>
      <c r="F108" s="54">
        <v>5400</v>
      </c>
      <c r="G108" s="5"/>
      <c r="H108" s="5">
        <v>8.9</v>
      </c>
      <c r="I108" s="87">
        <f>(Table5[[#This Row],[RPM]]/5400-1)</f>
        <v>0</v>
      </c>
      <c r="J108" s="57">
        <v>147</v>
      </c>
      <c r="K108">
        <v>3</v>
      </c>
      <c r="L108" s="48">
        <v>600000</v>
      </c>
      <c r="M108">
        <v>180</v>
      </c>
      <c r="N108" s="48">
        <v>1000000</v>
      </c>
      <c r="O108" s="47">
        <f t="shared" si="10"/>
        <v>100000000000000</v>
      </c>
      <c r="P108" s="75">
        <f>12*1.73</f>
        <v>20.759999999999998</v>
      </c>
      <c r="Q108" s="5">
        <v>4.0999999999999996</v>
      </c>
      <c r="R108" s="5">
        <v>2.7</v>
      </c>
      <c r="S108" s="76">
        <v>0.4</v>
      </c>
      <c r="T108" s="71">
        <v>109.99</v>
      </c>
      <c r="U108" s="10">
        <f>Table5[[#This Row],[Cost]]/Table5[[#This Row],[SizTB]]</f>
        <v>36.663333333333334</v>
      </c>
      <c r="V108" s="11">
        <f>Table5[[#This Row],[Cost]]+((CompareWarrYrs-Table5[[#This Row],[Warnty]])*(Incremental_Warr_Yr*Table5[[#This Row],[Cost]]))</f>
        <v>134.18779999999998</v>
      </c>
      <c r="W108" s="6">
        <f>Table5[[#This Row],[$+Warr]]/Table5[[#This Row],[SizTB]]</f>
        <v>44.729266666666661</v>
      </c>
      <c r="X108" s="10">
        <f>Table5[[#This Row],[$PerTB]]/CompareWarrYrs</f>
        <v>8.9458533333333321</v>
      </c>
      <c r="Y108" s="7"/>
      <c r="Z108" s="59">
        <f>(((Table5[[#This Row],[Watts Active]]*Power_On_Hours_Year/1000)*Active_Duty_Cycle)+((Table5[[#This Row],[Watts Idle]]*Power_On_Hours_Year/1000)*(100%-Active_Duty_Cycle)))*CostPerKWH</f>
        <v>3.2652456000000005</v>
      </c>
      <c r="AA108" s="60">
        <f>Table5[[#This Row],[Energy$year]]/Table5[[#This Row],[SizTB]]</f>
        <v>1.0884152000000002</v>
      </c>
      <c r="AB108" s="52"/>
    </row>
    <row r="109" spans="1:28">
      <c r="A109" s="1">
        <v>43011</v>
      </c>
      <c r="B109" t="s">
        <v>6</v>
      </c>
      <c r="C109" s="129" t="s">
        <v>68</v>
      </c>
      <c r="D109" s="38" t="s">
        <v>60</v>
      </c>
      <c r="E109" s="120">
        <v>4</v>
      </c>
      <c r="F109" s="54">
        <v>5400</v>
      </c>
      <c r="G109" s="5"/>
      <c r="H109" s="5"/>
      <c r="I109" s="87">
        <f>(Table5[[#This Row],[RPM]]/5400-1)</f>
        <v>0</v>
      </c>
      <c r="J109" s="57">
        <v>150</v>
      </c>
      <c r="K109">
        <v>3</v>
      </c>
      <c r="L109" s="48">
        <v>600000</v>
      </c>
      <c r="M109">
        <v>180</v>
      </c>
      <c r="N109" s="48">
        <v>1000000</v>
      </c>
      <c r="O109" s="47">
        <f t="shared" si="10"/>
        <v>100000000000000</v>
      </c>
      <c r="P109" s="75">
        <f>12*1.75</f>
        <v>21</v>
      </c>
      <c r="Q109" s="5">
        <v>4.5</v>
      </c>
      <c r="R109" s="5">
        <v>3.3</v>
      </c>
      <c r="S109" s="76">
        <v>0.4</v>
      </c>
      <c r="T109" s="71">
        <v>129.99</v>
      </c>
      <c r="U109" s="10">
        <f>Table5[[#This Row],[Cost]]/Table5[[#This Row],[SizTB]]</f>
        <v>32.497500000000002</v>
      </c>
      <c r="V109" s="11">
        <f>Table5[[#This Row],[Cost]]+((CompareWarrYrs-Table5[[#This Row],[Warnty]])*(Incremental_Warr_Yr*Table5[[#This Row],[Cost]]))</f>
        <v>158.58780000000002</v>
      </c>
      <c r="W109" s="6">
        <f>Table5[[#This Row],[$+Warr]]/Table5[[#This Row],[SizTB]]</f>
        <v>39.646950000000004</v>
      </c>
      <c r="X109" s="10">
        <f>Table5[[#This Row],[$PerTB]]/CompareWarrYrs</f>
        <v>7.9293900000000006</v>
      </c>
      <c r="Y109" s="7"/>
      <c r="Z109" s="59">
        <f>(((Table5[[#This Row],[Watts Active]]*Power_On_Hours_Year/1000)*Active_Duty_Cycle)+((Table5[[#This Row],[Watts Idle]]*Power_On_Hours_Year/1000)*(100%-Active_Duty_Cycle)))*CostPerKWH</f>
        <v>3.8788488000000001</v>
      </c>
      <c r="AA109" s="60">
        <f>Table5[[#This Row],[Energy$year]]/Table5[[#This Row],[SizTB]]</f>
        <v>0.96971220000000002</v>
      </c>
      <c r="AB109" s="52"/>
    </row>
    <row r="110" spans="1:28">
      <c r="A110" s="1">
        <v>43008</v>
      </c>
      <c r="B110" t="s">
        <v>6</v>
      </c>
      <c r="C110" s="129" t="s">
        <v>68</v>
      </c>
      <c r="D110" s="38" t="s">
        <v>60</v>
      </c>
      <c r="E110" s="120">
        <v>5</v>
      </c>
      <c r="F110" s="54">
        <v>5400</v>
      </c>
      <c r="G110" s="5"/>
      <c r="H110" s="5"/>
      <c r="I110" s="87">
        <f>(Table5[[#This Row],[RPM]]/5400-1)</f>
        <v>0</v>
      </c>
      <c r="J110" s="57"/>
      <c r="K110">
        <v>3</v>
      </c>
      <c r="L110" s="48">
        <v>600000</v>
      </c>
      <c r="M110">
        <v>180</v>
      </c>
      <c r="N110" s="48">
        <v>1000000</v>
      </c>
      <c r="O110" s="47">
        <f t="shared" si="10"/>
        <v>100000000000000</v>
      </c>
      <c r="P110" s="75">
        <f>12*1.75</f>
        <v>21</v>
      </c>
      <c r="Q110" s="5">
        <v>5.3</v>
      </c>
      <c r="R110" s="5">
        <v>3.4</v>
      </c>
      <c r="S110" s="76">
        <v>0.4</v>
      </c>
      <c r="T110" s="71">
        <v>262</v>
      </c>
      <c r="U110" s="10">
        <f>Table5[[#This Row],[Cost]]/Table5[[#This Row],[SizTB]]</f>
        <v>52.4</v>
      </c>
      <c r="V110" s="11">
        <f>Table5[[#This Row],[Cost]]+((CompareWarrYrs-Table5[[#This Row],[Warnty]])*(Incremental_Warr_Yr*Table5[[#This Row],[Cost]]))</f>
        <v>319.64</v>
      </c>
      <c r="W110" s="6">
        <f>Table5[[#This Row],[$+Warr]]/Table5[[#This Row],[SizTB]]</f>
        <v>63.927999999999997</v>
      </c>
      <c r="X110" s="10">
        <f>Table5[[#This Row],[$PerTB]]/CompareWarrYrs</f>
        <v>12.785599999999999</v>
      </c>
      <c r="Y110" s="7"/>
      <c r="Z110" s="59">
        <f>(((Table5[[#This Row],[Watts Active]]*Power_On_Hours_Year/1000)*Active_Duty_Cycle)+((Table5[[#This Row],[Watts Idle]]*Power_On_Hours_Year/1000)*(100%-Active_Duty_Cycle)))*CostPerKWH</f>
        <v>4.1418216000000001</v>
      </c>
      <c r="AA110" s="60">
        <f>Table5[[#This Row],[Energy$year]]/Table5[[#This Row],[SizTB]]</f>
        <v>0.82836432000000004</v>
      </c>
      <c r="AB110" s="52"/>
    </row>
    <row r="111" spans="1:28">
      <c r="A111" s="1">
        <v>43008</v>
      </c>
      <c r="B111" t="s">
        <v>6</v>
      </c>
      <c r="C111" s="129" t="s">
        <v>68</v>
      </c>
      <c r="D111" s="38" t="s">
        <v>60</v>
      </c>
      <c r="E111" s="120">
        <v>6</v>
      </c>
      <c r="F111" s="54">
        <v>5400</v>
      </c>
      <c r="G111" s="5"/>
      <c r="H111" s="5"/>
      <c r="I111" s="87">
        <f>(Table5[[#This Row],[RPM]]/5400-1)</f>
        <v>0</v>
      </c>
      <c r="J111" s="57">
        <v>175</v>
      </c>
      <c r="K111">
        <v>3</v>
      </c>
      <c r="L111" s="48">
        <v>600000</v>
      </c>
      <c r="M111">
        <v>180</v>
      </c>
      <c r="N111" s="48">
        <v>1000000</v>
      </c>
      <c r="O111" s="47">
        <f t="shared" si="10"/>
        <v>100000000000000</v>
      </c>
      <c r="P111" s="75">
        <f>12*1.75</f>
        <v>21</v>
      </c>
      <c r="Q111" s="5">
        <v>5.3</v>
      </c>
      <c r="R111" s="5">
        <v>3.4</v>
      </c>
      <c r="S111" s="76">
        <v>0.4</v>
      </c>
      <c r="T111" s="71">
        <v>214.99</v>
      </c>
      <c r="U111" s="10">
        <f>Table5[[#This Row],[Cost]]/Table5[[#This Row],[SizTB]]</f>
        <v>35.831666666666671</v>
      </c>
      <c r="V111" s="11">
        <f>Table5[[#This Row],[Cost]]+((CompareWarrYrs-Table5[[#This Row],[Warnty]])*(Incremental_Warr_Yr*Table5[[#This Row],[Cost]]))</f>
        <v>262.2878</v>
      </c>
      <c r="W111" s="6">
        <f>Table5[[#This Row],[$+Warr]]/Table5[[#This Row],[SizTB]]</f>
        <v>43.714633333333332</v>
      </c>
      <c r="X111" s="10">
        <f>Table5[[#This Row],[$PerTB]]/CompareWarrYrs</f>
        <v>8.7429266666666656</v>
      </c>
      <c r="Y111" s="7"/>
      <c r="Z111" s="59">
        <f>(((Table5[[#This Row],[Watts Active]]*Power_On_Hours_Year/1000)*Active_Duty_Cycle)+((Table5[[#This Row],[Watts Idle]]*Power_On_Hours_Year/1000)*(100%-Active_Duty_Cycle)))*CostPerKWH</f>
        <v>4.1418216000000001</v>
      </c>
      <c r="AA111" s="60">
        <f>Table5[[#This Row],[Energy$year]]/Table5[[#This Row],[SizTB]]</f>
        <v>0.69030360000000002</v>
      </c>
      <c r="AB111" s="52"/>
    </row>
    <row r="112" spans="1:28">
      <c r="A112" s="1">
        <v>43008</v>
      </c>
      <c r="B112" t="s">
        <v>6</v>
      </c>
      <c r="C112" s="129" t="s">
        <v>68</v>
      </c>
      <c r="D112" s="38" t="s">
        <v>60</v>
      </c>
      <c r="E112" s="120">
        <v>8</v>
      </c>
      <c r="F112" s="54">
        <v>5400</v>
      </c>
      <c r="G112" s="5"/>
      <c r="H112" s="5"/>
      <c r="I112" s="87">
        <f>(Table5[[#This Row],[RPM]]/5400-1)</f>
        <v>0</v>
      </c>
      <c r="J112" s="57">
        <v>178</v>
      </c>
      <c r="K112">
        <v>3</v>
      </c>
      <c r="L112" s="48">
        <v>600000</v>
      </c>
      <c r="M112">
        <v>180</v>
      </c>
      <c r="N112" s="48">
        <v>1000000</v>
      </c>
      <c r="O112" s="47">
        <f t="shared" si="10"/>
        <v>100000000000000</v>
      </c>
      <c r="P112" s="75">
        <f>12*1.79</f>
        <v>21.48</v>
      </c>
      <c r="Q112" s="5">
        <v>6.4</v>
      </c>
      <c r="R112" s="5">
        <v>5.2</v>
      </c>
      <c r="S112" s="76">
        <v>0.7</v>
      </c>
      <c r="T112" s="71">
        <v>259.99</v>
      </c>
      <c r="U112" s="10">
        <f>Table5[[#This Row],[Cost]]/Table5[[#This Row],[SizTB]]</f>
        <v>32.498750000000001</v>
      </c>
      <c r="V112" s="11">
        <f>Table5[[#This Row],[Cost]]+((CompareWarrYrs-Table5[[#This Row],[Warnty]])*(Incremental_Warr_Yr*Table5[[#This Row],[Cost]]))</f>
        <v>317.18780000000004</v>
      </c>
      <c r="W112" s="6">
        <f>Table5[[#This Row],[$+Warr]]/Table5[[#This Row],[SizTB]]</f>
        <v>39.648475000000005</v>
      </c>
      <c r="X112" s="10">
        <f>Table5[[#This Row],[$PerTB]]/CompareWarrYrs</f>
        <v>7.9296950000000006</v>
      </c>
      <c r="Y112" s="7"/>
      <c r="Z112" s="59">
        <f>(((Table5[[#This Row],[Watts Active]]*Power_On_Hours_Year/1000)*Active_Duty_Cycle)+((Table5[[#This Row],[Watts Idle]]*Power_On_Hours_Year/1000)*(100%-Active_Duty_Cycle)))*CostPerKWH</f>
        <v>5.960716800000001</v>
      </c>
      <c r="AA112" s="60">
        <f>Table5[[#This Row],[Energy$year]]/Table5[[#This Row],[SizTB]]</f>
        <v>0.74508960000000013</v>
      </c>
      <c r="AB112" s="52"/>
    </row>
    <row r="113" spans="1:28">
      <c r="A113" s="1">
        <v>43015</v>
      </c>
      <c r="B113" t="s">
        <v>6</v>
      </c>
      <c r="C113" s="129" t="s">
        <v>68</v>
      </c>
      <c r="D113" s="38" t="s">
        <v>60</v>
      </c>
      <c r="E113" s="120">
        <v>10</v>
      </c>
      <c r="F113" s="54">
        <v>5400</v>
      </c>
      <c r="G113" s="5"/>
      <c r="H113" s="5"/>
      <c r="I113" s="87">
        <f>(Table5[[#This Row],[RPM]]/5400-1)</f>
        <v>0</v>
      </c>
      <c r="J113" s="57">
        <v>210</v>
      </c>
      <c r="K113">
        <v>3</v>
      </c>
      <c r="L113" s="48">
        <v>600000</v>
      </c>
      <c r="M113">
        <v>180</v>
      </c>
      <c r="N113" s="48">
        <v>1000000</v>
      </c>
      <c r="O113" s="47">
        <f t="shared" si="10"/>
        <v>100000000000000</v>
      </c>
      <c r="P113" s="75">
        <f>12*1.79</f>
        <v>21.48</v>
      </c>
      <c r="Q113" s="5">
        <v>5.7</v>
      </c>
      <c r="R113" s="5">
        <v>2.8</v>
      </c>
      <c r="S113" s="76">
        <v>0.5</v>
      </c>
      <c r="T113" s="71">
        <v>359.99</v>
      </c>
      <c r="U113" s="10">
        <f>Table5[[#This Row],[Cost]]/Table5[[#This Row],[SizTB]]</f>
        <v>35.999000000000002</v>
      </c>
      <c r="V113" s="11">
        <f>Table5[[#This Row],[Cost]]+((CompareWarrYrs-Table5[[#This Row],[Warnty]])*(Incremental_Warr_Yr*Table5[[#This Row],[Cost]]))</f>
        <v>439.18780000000004</v>
      </c>
      <c r="W113" s="6">
        <f>Table5[[#This Row],[$+Warr]]/Table5[[#This Row],[SizTB]]</f>
        <v>43.918780000000005</v>
      </c>
      <c r="X113" s="10">
        <f>Table5[[#This Row],[$PerTB]]/CompareWarrYrs</f>
        <v>8.7837560000000003</v>
      </c>
      <c r="Y113" s="7"/>
      <c r="Z113" s="59">
        <f>(((Table5[[#This Row],[Watts Active]]*Power_On_Hours_Year/1000)*Active_Duty_Cycle)+((Table5[[#This Row],[Watts Idle]]*Power_On_Hours_Year/1000)*(100%-Active_Duty_Cycle)))*CostPerKWH</f>
        <v>3.7035336000000001</v>
      </c>
      <c r="AA113" s="60">
        <f>Table5[[#This Row],[Energy$year]]/Table5[[#This Row],[SizTB]]</f>
        <v>0.37035336000000002</v>
      </c>
      <c r="AB113" s="52"/>
    </row>
    <row r="114" spans="1:28">
      <c r="A114" s="1">
        <v>42961</v>
      </c>
      <c r="B114" t="s">
        <v>6</v>
      </c>
      <c r="C114" s="129" t="s">
        <v>76</v>
      </c>
      <c r="D114" s="38" t="s">
        <v>60</v>
      </c>
      <c r="E114" s="120">
        <v>0.75</v>
      </c>
      <c r="F114" s="54">
        <v>5400</v>
      </c>
      <c r="G114" s="5"/>
      <c r="H114" s="5"/>
      <c r="I114" s="87">
        <f>(Table5[[#This Row],[RPM]]/5400-1)</f>
        <v>0</v>
      </c>
      <c r="J114" s="57">
        <v>144</v>
      </c>
      <c r="K114">
        <v>3</v>
      </c>
      <c r="L114" s="48">
        <v>600000</v>
      </c>
      <c r="M114">
        <v>180</v>
      </c>
      <c r="N114" s="48">
        <v>1000000</v>
      </c>
      <c r="O114" s="47">
        <f t="shared" si="10"/>
        <v>100000000000000</v>
      </c>
      <c r="P114" s="75">
        <v>5</v>
      </c>
      <c r="Q114" s="5">
        <v>1.4</v>
      </c>
      <c r="R114" s="5">
        <v>0.6</v>
      </c>
      <c r="S114" s="76">
        <v>0.2</v>
      </c>
      <c r="T114" s="71">
        <v>54.99</v>
      </c>
      <c r="U114" s="10">
        <f>Table5[[#This Row],[Cost]]/Table5[[#This Row],[SizTB]]</f>
        <v>73.320000000000007</v>
      </c>
      <c r="V114" s="11">
        <f>Table5[[#This Row],[Cost]]+((CompareWarrYrs-Table5[[#This Row],[Warnty]])*(Incremental_Warr_Yr*Table5[[#This Row],[Cost]]))</f>
        <v>67.087800000000001</v>
      </c>
      <c r="W114" s="6">
        <f>Table5[[#This Row],[$+Warr]]/Table5[[#This Row],[SizTB]]</f>
        <v>89.450400000000002</v>
      </c>
      <c r="X114" s="10">
        <f>Table5[[#This Row],[$PerTB]]/CompareWarrYrs</f>
        <v>17.890080000000001</v>
      </c>
      <c r="Y114" s="7"/>
      <c r="Z114" s="59">
        <f>(((Table5[[#This Row],[Watts Active]]*Power_On_Hours_Year/1000)*Active_Duty_Cycle)+((Table5[[#This Row],[Watts Idle]]*Power_On_Hours_Year/1000)*(100%-Active_Duty_Cycle)))*CostPerKWH</f>
        <v>0.83274720000000002</v>
      </c>
      <c r="AA114" s="60">
        <f>Table5[[#This Row],[Energy$year]]/Table5[[#This Row],[SizTB]]</f>
        <v>1.1103296</v>
      </c>
      <c r="AB114" s="52"/>
    </row>
    <row r="115" spans="1:28">
      <c r="A115" s="1">
        <v>42961</v>
      </c>
      <c r="B115" t="s">
        <v>6</v>
      </c>
      <c r="C115" s="129" t="s">
        <v>76</v>
      </c>
      <c r="D115" s="38" t="s">
        <v>60</v>
      </c>
      <c r="E115" s="120">
        <v>1</v>
      </c>
      <c r="F115" s="54">
        <v>5400</v>
      </c>
      <c r="G115" s="5"/>
      <c r="H115" s="5"/>
      <c r="I115" s="87">
        <f>(Table5[[#This Row],[RPM]]/5400-1)</f>
        <v>0</v>
      </c>
      <c r="J115" s="57">
        <v>144</v>
      </c>
      <c r="K115">
        <v>3</v>
      </c>
      <c r="L115" s="48">
        <v>600000</v>
      </c>
      <c r="M115">
        <v>180</v>
      </c>
      <c r="N115" s="48">
        <v>1000000</v>
      </c>
      <c r="O115" s="47">
        <f t="shared" si="10"/>
        <v>100000000000000</v>
      </c>
      <c r="P115" s="75">
        <v>5</v>
      </c>
      <c r="Q115" s="5">
        <v>1.4</v>
      </c>
      <c r="R115" s="5">
        <v>0.6</v>
      </c>
      <c r="S115" s="76">
        <v>0.2</v>
      </c>
      <c r="T115" s="71">
        <v>72.989999999999995</v>
      </c>
      <c r="U115" s="10">
        <f>Table5[[#This Row],[Cost]]/Table5[[#This Row],[SizTB]]</f>
        <v>72.989999999999995</v>
      </c>
      <c r="V115" s="11">
        <f>Table5[[#This Row],[Cost]]+((CompareWarrYrs-Table5[[#This Row],[Warnty]])*(Incremental_Warr_Yr*Table5[[#This Row],[Cost]]))</f>
        <v>89.047799999999995</v>
      </c>
      <c r="W115" s="6">
        <f>Table5[[#This Row],[$+Warr]]/Table5[[#This Row],[SizTB]]</f>
        <v>89.047799999999995</v>
      </c>
      <c r="X115" s="10">
        <f>Table5[[#This Row],[$PerTB]]/CompareWarrYrs</f>
        <v>17.809559999999998</v>
      </c>
      <c r="Y115" s="7"/>
      <c r="Z115" s="59">
        <f>(((Table5[[#This Row],[Watts Active]]*Power_On_Hours_Year/1000)*Active_Duty_Cycle)+((Table5[[#This Row],[Watts Idle]]*Power_On_Hours_Year/1000)*(100%-Active_Duty_Cycle)))*CostPerKWH</f>
        <v>0.83274720000000002</v>
      </c>
      <c r="AA115" s="60">
        <f>Table5[[#This Row],[Energy$year]]/Table5[[#This Row],[SizTB]]</f>
        <v>0.83274720000000002</v>
      </c>
      <c r="AB115" s="52"/>
    </row>
    <row r="116" spans="1:28">
      <c r="A116" s="1">
        <v>43001</v>
      </c>
      <c r="B116" t="s">
        <v>6</v>
      </c>
      <c r="C116" s="129" t="s">
        <v>12</v>
      </c>
      <c r="D116" s="38" t="s">
        <v>60</v>
      </c>
      <c r="E116" s="120">
        <v>2</v>
      </c>
      <c r="F116" s="54">
        <v>7200</v>
      </c>
      <c r="G116" s="5"/>
      <c r="H116" s="5"/>
      <c r="I116" s="87">
        <f>(Table5[[#This Row],[RPM]]/5400-1)</f>
        <v>0.33333333333333326</v>
      </c>
      <c r="J116" s="57">
        <v>164</v>
      </c>
      <c r="K116">
        <v>5</v>
      </c>
      <c r="L116" s="48">
        <v>600000</v>
      </c>
      <c r="M116">
        <v>300</v>
      </c>
      <c r="N116" s="48">
        <v>1000000</v>
      </c>
      <c r="O116" s="47">
        <v>1000000000000000</v>
      </c>
      <c r="P116" s="75">
        <f>12*1.9</f>
        <v>22.799999999999997</v>
      </c>
      <c r="Q116" s="5">
        <v>7.8</v>
      </c>
      <c r="R116" s="5">
        <v>6</v>
      </c>
      <c r="S116" s="76">
        <v>1.4</v>
      </c>
      <c r="T116" s="71">
        <v>120.99</v>
      </c>
      <c r="U116" s="10">
        <f>Table5[[#This Row],[Cost]]/Table5[[#This Row],[SizTB]]</f>
        <v>60.494999999999997</v>
      </c>
      <c r="V116" s="11">
        <f>Table5[[#This Row],[Cost]]+((CompareWarrYrs-Table5[[#This Row],[Warnty]])*(Incremental_Warr_Yr*Table5[[#This Row],[Cost]]))</f>
        <v>120.99</v>
      </c>
      <c r="W116" s="6">
        <f>Table5[[#This Row],[$+Warr]]/Table5[[#This Row],[SizTB]]</f>
        <v>60.494999999999997</v>
      </c>
      <c r="X116" s="10">
        <f>Table5[[#This Row],[$PerTB]]/CompareWarrYrs</f>
        <v>12.099</v>
      </c>
      <c r="Y116" s="7"/>
      <c r="Z116" s="59">
        <f>(((Table5[[#This Row],[Watts Active]]*Power_On_Hours_Year/1000)*Active_Duty_Cycle)+((Table5[[#This Row],[Watts Idle]]*Power_On_Hours_Year/1000)*(100%-Active_Duty_Cycle)))*CostPerKWH</f>
        <v>6.9687792000000002</v>
      </c>
      <c r="AA116" s="60">
        <f>Table5[[#This Row],[Energy$year]]/Table5[[#This Row],[SizTB]]</f>
        <v>3.4843896000000001</v>
      </c>
      <c r="AB116" s="52"/>
    </row>
    <row r="117" spans="1:28">
      <c r="A117" s="1">
        <v>43001</v>
      </c>
      <c r="B117" t="s">
        <v>6</v>
      </c>
      <c r="C117" s="129" t="s">
        <v>12</v>
      </c>
      <c r="D117" s="38" t="s">
        <v>60</v>
      </c>
      <c r="E117" s="120">
        <v>3</v>
      </c>
      <c r="F117" s="54">
        <v>7200</v>
      </c>
      <c r="G117" s="5"/>
      <c r="H117" s="5"/>
      <c r="I117" s="87">
        <f>(Table5[[#This Row],[RPM]]/5400-1)</f>
        <v>0.33333333333333326</v>
      </c>
      <c r="J117" s="57"/>
      <c r="K117">
        <v>5</v>
      </c>
      <c r="L117" s="48">
        <v>600000</v>
      </c>
      <c r="M117">
        <v>300</v>
      </c>
      <c r="N117" s="48">
        <v>1000000</v>
      </c>
      <c r="O117" s="47">
        <v>1000000000000000</v>
      </c>
      <c r="P117" s="75">
        <f>12*1.9</f>
        <v>22.799999999999997</v>
      </c>
      <c r="Q117" s="5">
        <v>8.6</v>
      </c>
      <c r="R117" s="5">
        <v>6.5</v>
      </c>
      <c r="S117" s="76">
        <v>0.6</v>
      </c>
      <c r="T117" s="71">
        <v>209.99</v>
      </c>
      <c r="U117" s="10">
        <f>Table5[[#This Row],[Cost]]/Table5[[#This Row],[SizTB]]</f>
        <v>69.99666666666667</v>
      </c>
      <c r="V117" s="11">
        <f>Table5[[#This Row],[Cost]]+((CompareWarrYrs-Table5[[#This Row],[Warnty]])*(Incremental_Warr_Yr*Table5[[#This Row],[Cost]]))</f>
        <v>209.99</v>
      </c>
      <c r="W117" s="6">
        <f>Table5[[#This Row],[$+Warr]]/Table5[[#This Row],[SizTB]]</f>
        <v>69.99666666666667</v>
      </c>
      <c r="X117" s="10">
        <f>Table5[[#This Row],[$PerTB]]/CompareWarrYrs</f>
        <v>13.999333333333334</v>
      </c>
      <c r="Y117" s="7"/>
      <c r="Z117" s="59">
        <f>(((Table5[[#This Row],[Watts Active]]*Power_On_Hours_Year/1000)*Active_Duty_Cycle)+((Table5[[#This Row],[Watts Idle]]*Power_On_Hours_Year/1000)*(100%-Active_Duty_Cycle)))*CostPerKWH</f>
        <v>7.5823824000000002</v>
      </c>
      <c r="AA117" s="60">
        <f>Table5[[#This Row],[Energy$year]]/Table5[[#This Row],[SizTB]]</f>
        <v>2.5274608000000001</v>
      </c>
      <c r="AB117" s="52"/>
    </row>
    <row r="118" spans="1:28">
      <c r="A118" s="1">
        <v>43008</v>
      </c>
      <c r="B118" t="s">
        <v>6</v>
      </c>
      <c r="C118" s="129" t="s">
        <v>12</v>
      </c>
      <c r="D118" s="38" t="s">
        <v>60</v>
      </c>
      <c r="E118" s="120">
        <v>4</v>
      </c>
      <c r="F118" s="54">
        <v>7200</v>
      </c>
      <c r="G118" s="5"/>
      <c r="H118" s="5"/>
      <c r="I118" s="87">
        <f>(Table5[[#This Row],[RPM]]/5400-1)</f>
        <v>0.33333333333333326</v>
      </c>
      <c r="J118" s="57">
        <v>202</v>
      </c>
      <c r="K118">
        <v>5</v>
      </c>
      <c r="L118" s="48">
        <v>600000</v>
      </c>
      <c r="M118">
        <v>300</v>
      </c>
      <c r="N118" s="48">
        <v>1000000</v>
      </c>
      <c r="O118" s="47">
        <v>1000000000000000</v>
      </c>
      <c r="P118" s="75">
        <f>12*1.79</f>
        <v>21.48</v>
      </c>
      <c r="Q118" s="5">
        <v>9.1</v>
      </c>
      <c r="R118" s="5">
        <v>7.1</v>
      </c>
      <c r="S118" s="76">
        <v>1</v>
      </c>
      <c r="T118" s="71">
        <v>174.99</v>
      </c>
      <c r="U118" s="10">
        <f>Table5[[#This Row],[Cost]]/Table5[[#This Row],[SizTB]]</f>
        <v>43.747500000000002</v>
      </c>
      <c r="V118" s="11">
        <f>Table5[[#This Row],[Cost]]+((CompareWarrYrs-Table5[[#This Row],[Warnty]])*(Incremental_Warr_Yr*Table5[[#This Row],[Cost]]))</f>
        <v>174.99</v>
      </c>
      <c r="W118" s="6">
        <f>Table5[[#This Row],[$+Warr]]/Table5[[#This Row],[SizTB]]</f>
        <v>43.747500000000002</v>
      </c>
      <c r="X118" s="10">
        <f>Table5[[#This Row],[$PerTB]]/CompareWarrYrs</f>
        <v>8.7495000000000012</v>
      </c>
      <c r="Y118" s="7"/>
      <c r="Z118" s="59">
        <f>(((Table5[[#This Row],[Watts Active]]*Power_On_Hours_Year/1000)*Active_Duty_Cycle)+((Table5[[#This Row],[Watts Idle]]*Power_On_Hours_Year/1000)*(100%-Active_Duty_Cycle)))*CostPerKWH</f>
        <v>8.2179000000000002</v>
      </c>
      <c r="AA118" s="60">
        <f>Table5[[#This Row],[Energy$year]]/Table5[[#This Row],[SizTB]]</f>
        <v>2.0544750000000001</v>
      </c>
      <c r="AB118" s="52"/>
    </row>
    <row r="119" spans="1:28">
      <c r="A119" s="1">
        <v>42842</v>
      </c>
      <c r="B119" t="s">
        <v>6</v>
      </c>
      <c r="C119" s="129" t="s">
        <v>12</v>
      </c>
      <c r="D119" s="38" t="s">
        <v>60</v>
      </c>
      <c r="E119" s="120">
        <v>5</v>
      </c>
      <c r="F119" s="54">
        <v>7200</v>
      </c>
      <c r="G119" s="5"/>
      <c r="H119" s="5"/>
      <c r="I119" s="87">
        <f>(Table5[[#This Row],[RPM]]/5400-1)</f>
        <v>0.33333333333333326</v>
      </c>
      <c r="J119" s="57"/>
      <c r="K119">
        <v>5</v>
      </c>
      <c r="L119" s="48">
        <v>600000</v>
      </c>
      <c r="M119">
        <v>300</v>
      </c>
      <c r="N119" s="48">
        <v>1000000</v>
      </c>
      <c r="O119" s="47">
        <v>1000000000000000</v>
      </c>
      <c r="P119" s="75">
        <f>12*1.9</f>
        <v>22.799999999999997</v>
      </c>
      <c r="Q119" s="5">
        <v>10.6</v>
      </c>
      <c r="R119" s="5">
        <v>7.4</v>
      </c>
      <c r="S119" s="76">
        <v>1.6</v>
      </c>
      <c r="T119" s="71">
        <v>259.99</v>
      </c>
      <c r="U119" s="10">
        <f>Table5[[#This Row],[Cost]]/Table5[[#This Row],[SizTB]]</f>
        <v>51.998000000000005</v>
      </c>
      <c r="V119" s="11">
        <f>Table5[[#This Row],[Cost]]+((CompareWarrYrs-Table5[[#This Row],[Warnty]])*(Incremental_Warr_Yr*Table5[[#This Row],[Cost]]))</f>
        <v>259.99</v>
      </c>
      <c r="W119" s="6">
        <f>Table5[[#This Row],[$+Warr]]/Table5[[#This Row],[SizTB]]</f>
        <v>51.998000000000005</v>
      </c>
      <c r="X119" s="10">
        <f>Table5[[#This Row],[$PerTB]]/CompareWarrYrs</f>
        <v>10.399600000000001</v>
      </c>
      <c r="Y119" s="14"/>
      <c r="Z119" s="59">
        <f>(((Table5[[#This Row],[Watts Active]]*Power_On_Hours_Year/1000)*Active_Duty_Cycle)+((Table5[[#This Row],[Watts Idle]]*Power_On_Hours_Year/1000)*(100%-Active_Duty_Cycle)))*CostPerKWH</f>
        <v>8.8095888000000002</v>
      </c>
      <c r="AA119" s="60">
        <f>Table5[[#This Row],[Energy$year]]/Table5[[#This Row],[SizTB]]</f>
        <v>1.76191776</v>
      </c>
      <c r="AB119" s="52"/>
    </row>
    <row r="120" spans="1:28">
      <c r="A120" s="1">
        <v>43011</v>
      </c>
      <c r="B120" t="s">
        <v>6</v>
      </c>
      <c r="C120" s="129" t="s">
        <v>12</v>
      </c>
      <c r="D120" s="38" t="s">
        <v>60</v>
      </c>
      <c r="E120" s="120">
        <v>6</v>
      </c>
      <c r="F120" s="54">
        <v>7200</v>
      </c>
      <c r="G120" s="5"/>
      <c r="H120" s="5"/>
      <c r="I120" s="87">
        <f>(Table5[[#This Row],[RPM]]/5400-1)</f>
        <v>0.33333333333333326</v>
      </c>
      <c r="J120" s="57">
        <v>227</v>
      </c>
      <c r="K120">
        <v>5</v>
      </c>
      <c r="L120" s="48">
        <v>600000</v>
      </c>
      <c r="M120">
        <v>300</v>
      </c>
      <c r="N120" s="48">
        <v>1000000</v>
      </c>
      <c r="O120" s="47">
        <v>1000000000000000</v>
      </c>
      <c r="P120" s="75">
        <f>12*1.79</f>
        <v>21.48</v>
      </c>
      <c r="Q120" s="5">
        <v>9.1</v>
      </c>
      <c r="R120" s="5">
        <v>7.1</v>
      </c>
      <c r="S120" s="76">
        <v>1</v>
      </c>
      <c r="T120" s="71">
        <v>229.99</v>
      </c>
      <c r="U120" s="10">
        <f>Table5[[#This Row],[Cost]]/Table5[[#This Row],[SizTB]]</f>
        <v>38.331666666666671</v>
      </c>
      <c r="V120" s="11">
        <f>Table5[[#This Row],[Cost]]+((CompareWarrYrs-Table5[[#This Row],[Warnty]])*(Incremental_Warr_Yr*Table5[[#This Row],[Cost]]))</f>
        <v>229.99</v>
      </c>
      <c r="W120" s="6">
        <f>Table5[[#This Row],[$+Warr]]/Table5[[#This Row],[SizTB]]</f>
        <v>38.331666666666671</v>
      </c>
      <c r="X120" s="10">
        <f>Table5[[#This Row],[$PerTB]]/CompareWarrYrs</f>
        <v>7.6663333333333341</v>
      </c>
      <c r="Y120" s="7"/>
      <c r="Z120" s="59">
        <f>(((Table5[[#This Row],[Watts Active]]*Power_On_Hours_Year/1000)*Active_Duty_Cycle)+((Table5[[#This Row],[Watts Idle]]*Power_On_Hours_Year/1000)*(100%-Active_Duty_Cycle)))*CostPerKWH</f>
        <v>8.2179000000000002</v>
      </c>
      <c r="AA120" s="60">
        <f>Table5[[#This Row],[Energy$year]]/Table5[[#This Row],[SizTB]]</f>
        <v>1.36965</v>
      </c>
      <c r="AB120" s="52"/>
    </row>
    <row r="121" spans="1:28">
      <c r="A121" s="1">
        <v>43014</v>
      </c>
      <c r="B121" t="s">
        <v>6</v>
      </c>
      <c r="C121" s="129" t="s">
        <v>12</v>
      </c>
      <c r="D121" s="38" t="s">
        <v>60</v>
      </c>
      <c r="E121" s="120">
        <v>8</v>
      </c>
      <c r="F121" s="54">
        <v>7200</v>
      </c>
      <c r="G121" s="5"/>
      <c r="H121" s="5"/>
      <c r="I121" s="87">
        <f>(Table5[[#This Row],[RPM]]/5400-1)</f>
        <v>0.33333333333333326</v>
      </c>
      <c r="J121" s="57">
        <v>205</v>
      </c>
      <c r="K121">
        <v>5</v>
      </c>
      <c r="L121" s="48">
        <v>600000</v>
      </c>
      <c r="M121">
        <v>300</v>
      </c>
      <c r="N121" s="48">
        <v>1000000</v>
      </c>
      <c r="O121" s="47">
        <v>1000000000000000</v>
      </c>
      <c r="P121" s="75">
        <f>12*1.79</f>
        <v>21.48</v>
      </c>
      <c r="Q121" s="5">
        <v>8.3000000000000007</v>
      </c>
      <c r="R121" s="5">
        <v>5.2</v>
      </c>
      <c r="S121" s="76">
        <v>1</v>
      </c>
      <c r="T121" s="71">
        <v>299.99</v>
      </c>
      <c r="U121" s="10">
        <f>Table5[[#This Row],[Cost]]/Table5[[#This Row],[SizTB]]</f>
        <v>37.498750000000001</v>
      </c>
      <c r="V121" s="11">
        <f>Table5[[#This Row],[Cost]]+((CompareWarrYrs-Table5[[#This Row],[Warnty]])*(Incremental_Warr_Yr*Table5[[#This Row],[Cost]]))</f>
        <v>299.99</v>
      </c>
      <c r="W121" s="6">
        <f>Table5[[#This Row],[$+Warr]]/Table5[[#This Row],[SizTB]]</f>
        <v>37.498750000000001</v>
      </c>
      <c r="X121" s="10">
        <f>Table5[[#This Row],[$PerTB]]/CompareWarrYrs</f>
        <v>7.4997500000000006</v>
      </c>
      <c r="Y121" s="7"/>
      <c r="Z121" s="59">
        <f>(((Table5[[#This Row],[Watts Active]]*Power_On_Hours_Year/1000)*Active_Duty_Cycle)+((Table5[[#This Row],[Watts Idle]]*Power_On_Hours_Year/1000)*(100%-Active_Duty_Cycle)))*CostPerKWH</f>
        <v>6.377090400000001</v>
      </c>
      <c r="AA121" s="60">
        <f>Table5[[#This Row],[Energy$year]]/Table5[[#This Row],[SizTB]]</f>
        <v>0.79713630000000013</v>
      </c>
      <c r="AB121" s="52"/>
    </row>
    <row r="122" spans="1:28" ht="15.75" thickBot="1">
      <c r="A122" s="1">
        <v>43008</v>
      </c>
      <c r="B122" t="s">
        <v>6</v>
      </c>
      <c r="C122" s="129" t="s">
        <v>12</v>
      </c>
      <c r="D122" s="38" t="s">
        <v>60</v>
      </c>
      <c r="E122" s="120">
        <v>10</v>
      </c>
      <c r="F122" s="55">
        <v>7200</v>
      </c>
      <c r="G122" s="5"/>
      <c r="H122" s="5"/>
      <c r="I122" s="87">
        <f>(Table5[[#This Row],[RPM]]/5400-1)</f>
        <v>0.33333333333333326</v>
      </c>
      <c r="J122" s="58">
        <v>240</v>
      </c>
      <c r="K122">
        <v>5</v>
      </c>
      <c r="L122" s="48">
        <v>600000</v>
      </c>
      <c r="M122">
        <v>300</v>
      </c>
      <c r="N122" s="48">
        <v>1000000</v>
      </c>
      <c r="O122" s="47">
        <v>1000000000000000</v>
      </c>
      <c r="P122" s="75">
        <f>12*1.8</f>
        <v>21.6</v>
      </c>
      <c r="Q122" s="5">
        <v>5.7</v>
      </c>
      <c r="R122" s="5">
        <v>2.8</v>
      </c>
      <c r="S122" s="76">
        <v>0.5</v>
      </c>
      <c r="T122" s="71">
        <v>440.77</v>
      </c>
      <c r="U122" s="10">
        <f>Table5[[#This Row],[Cost]]/Table5[[#This Row],[SizTB]]</f>
        <v>44.076999999999998</v>
      </c>
      <c r="V122" s="11">
        <f>Table5[[#This Row],[Cost]]+((CompareWarrYrs-Table5[[#This Row],[Warnty]])*(Incremental_Warr_Yr*Table5[[#This Row],[Cost]]))</f>
        <v>440.77</v>
      </c>
      <c r="W122" s="6">
        <f>Table5[[#This Row],[$+Warr]]/Table5[[#This Row],[SizTB]]</f>
        <v>44.076999999999998</v>
      </c>
      <c r="X122" s="10">
        <f>Table5[[#This Row],[$PerTB]]/CompareWarrYrs</f>
        <v>8.8154000000000003</v>
      </c>
      <c r="Y122" s="7"/>
      <c r="Z122" s="63">
        <f>(((Table5[[#This Row],[Watts Active]]*Power_On_Hours_Year/1000)*Active_Duty_Cycle)+((Table5[[#This Row],[Watts Idle]]*Power_On_Hours_Year/1000)*(100%-Active_Duty_Cycle)))*CostPerKWH</f>
        <v>3.7035336000000001</v>
      </c>
      <c r="AA122" s="64">
        <f>Table5[[#This Row],[Energy$year]]/Table5[[#This Row],[SizTB]]</f>
        <v>0.37035336000000002</v>
      </c>
      <c r="AB122" s="52"/>
    </row>
    <row r="123" spans="1:28" ht="15.75" thickBot="1">
      <c r="A123" s="7"/>
      <c r="B123" s="7"/>
      <c r="C123" s="7"/>
      <c r="D123" s="16" t="s">
        <v>25</v>
      </c>
      <c r="E123" s="83">
        <f>MIN(Table5[SizTB])</f>
        <v>0.6</v>
      </c>
      <c r="F123" s="88"/>
      <c r="G123" s="17">
        <f>MIN(Table5[AvgLatency])</f>
        <v>2</v>
      </c>
      <c r="H123" s="17">
        <f>MIN(Table5[SeekT])</f>
        <v>4.4000000000000004</v>
      </c>
      <c r="I123" s="19"/>
      <c r="J123" s="89">
        <f>MIN(Table5[XferRate])</f>
        <v>99</v>
      </c>
      <c r="K123" s="68">
        <f>MIN(Table5[Warnty])</f>
        <v>2</v>
      </c>
      <c r="L123" s="49">
        <f>MIN(Table5[CycleCnt])</f>
        <v>300000</v>
      </c>
      <c r="M123" s="17">
        <f>MIN(Table5[WorkLoad])</f>
        <v>55</v>
      </c>
      <c r="N123" s="49">
        <f>MIN(Table5[MTBF])</f>
        <v>500000</v>
      </c>
      <c r="O123" s="65">
        <f>MIN(O3:O122)</f>
        <v>100000000000000</v>
      </c>
      <c r="P123" s="77">
        <f>MIN(Table5[MaxStartupWatts])</f>
        <v>4.5</v>
      </c>
      <c r="Q123" s="17">
        <f>MIN(Q3:Q122)</f>
        <v>1.4</v>
      </c>
      <c r="R123" s="17">
        <f>MIN(R3:R122)</f>
        <v>0.45</v>
      </c>
      <c r="S123" s="78">
        <f>MIN(S3:S122)</f>
        <v>3.0000000000000001E-3</v>
      </c>
      <c r="T123" s="68"/>
      <c r="U123" s="18">
        <f>MIN(U3:U122)</f>
        <v>23.33</v>
      </c>
      <c r="V123" s="19"/>
      <c r="W123" s="18">
        <f>MIN(W3:W122)</f>
        <v>26.998000000000001</v>
      </c>
      <c r="X123" s="18">
        <f>MIN(X3:X122)</f>
        <v>5.3996000000000004</v>
      </c>
      <c r="Y123" s="19"/>
      <c r="Z123" s="18">
        <f>MIN(Z3:Z122)</f>
        <v>0.76700400000000002</v>
      </c>
      <c r="AA123" s="20">
        <f>MIN(AA3:AA122)</f>
        <v>0.28488720000000006</v>
      </c>
    </row>
    <row r="124" spans="1:28" ht="15.75" thickBot="1">
      <c r="B124" s="4"/>
      <c r="D124" s="21" t="s">
        <v>40</v>
      </c>
      <c r="E124" s="84">
        <f>AVERAGE(Table5[SizTB])</f>
        <v>4.6179166666666669</v>
      </c>
      <c r="F124" s="90"/>
      <c r="G124" s="22">
        <f>AVERAGE(Table5[AvgLatency])</f>
        <v>4.2747540983606518</v>
      </c>
      <c r="H124" s="22">
        <f>AVERAGE(Table5[SeekT])</f>
        <v>10.397307692307693</v>
      </c>
      <c r="I124" s="23"/>
      <c r="J124" s="91">
        <f>AVERAGE(Table5[XferRate])</f>
        <v>192.44329896907217</v>
      </c>
      <c r="K124" s="69">
        <f>AVERAGE(Table5[Warnty])</f>
        <v>3.8083333333333331</v>
      </c>
      <c r="L124" s="50">
        <f>AVERAGE(Table5[CycleCnt])</f>
        <v>517857.14285714284</v>
      </c>
      <c r="M124" s="22">
        <f>AVERAGE(Table5[WorkLoad])</f>
        <v>322.68656716417911</v>
      </c>
      <c r="N124" s="50">
        <f>AVERAGE(N3:N122)</f>
        <v>1512500</v>
      </c>
      <c r="O124" s="66">
        <f>AVERAGE(O3:O122)</f>
        <v>1641584158415841.5</v>
      </c>
      <c r="P124" s="79">
        <f>AVERAGE(Table5[MaxStartupWatts])</f>
        <v>20.004373333333334</v>
      </c>
      <c r="Q124" s="22">
        <f>AVERAGE(Q3:Q122)</f>
        <v>6.6285714285714308</v>
      </c>
      <c r="R124" s="22">
        <f>AVERAGE(R3:R122)</f>
        <v>4.6949541284403669</v>
      </c>
      <c r="S124" s="80">
        <f>AVERAGE(S3:S122)</f>
        <v>0.71319736842105286</v>
      </c>
      <c r="T124" s="72"/>
      <c r="U124" s="24">
        <f>AVERAGE(U3:U122)</f>
        <v>50.650696643518472</v>
      </c>
      <c r="V124" s="23"/>
      <c r="W124" s="24">
        <f>AVERAGE(W3:W122)</f>
        <v>55.705970615740739</v>
      </c>
      <c r="X124" s="24">
        <f>AVERAGE(X3:X122)</f>
        <v>11.141194123148146</v>
      </c>
      <c r="Y124" s="23"/>
      <c r="Z124" s="24">
        <f>AVERAGE(Z3:Z122)</f>
        <v>5.6024269980582551</v>
      </c>
      <c r="AA124" s="25">
        <f>AVERAGE(AA3:AA122)</f>
        <v>1.8184401275080906</v>
      </c>
    </row>
    <row r="125" spans="1:28" ht="15.75" thickBot="1">
      <c r="B125" s="4"/>
      <c r="D125" s="94" t="s">
        <v>24</v>
      </c>
      <c r="E125" s="84">
        <f>MEDIAN(Table5[SizTB])</f>
        <v>4</v>
      </c>
      <c r="F125" s="92"/>
      <c r="G125" s="22">
        <f>MEDIAN(Table5[AvgLatency])</f>
        <v>4.16</v>
      </c>
      <c r="H125" s="22">
        <f>MEDIAN(Table5[SeekT])</f>
        <v>9.5</v>
      </c>
      <c r="I125" s="26"/>
      <c r="J125" s="91">
        <f>MEDIAN(Table5[XferRate])</f>
        <v>202</v>
      </c>
      <c r="K125" s="69">
        <f>MEDIAN(Table5[Warnty])</f>
        <v>5</v>
      </c>
      <c r="L125" s="50">
        <f>MEDIAN(Table5[CycleCnt])</f>
        <v>600000</v>
      </c>
      <c r="M125" s="22">
        <f>MEDIAN(Table5[WorkLoad])</f>
        <v>300</v>
      </c>
      <c r="N125" s="50">
        <f>MEDIAN(Table5[MTBF])</f>
        <v>1200000</v>
      </c>
      <c r="O125" s="66">
        <f>MEDIAN(O3:O122)</f>
        <v>1000000000000000</v>
      </c>
      <c r="P125" s="79">
        <f>MEDIAN(Table5[MaxStartupWatts])</f>
        <v>21.6</v>
      </c>
      <c r="Q125" s="22">
        <f>MEDIAN(Q3:Q122)</f>
        <v>7.1</v>
      </c>
      <c r="R125" s="22">
        <f>MEDIAN(R3:R122)</f>
        <v>5</v>
      </c>
      <c r="S125" s="80">
        <f>MEDIAN(S3:S122)</f>
        <v>0.72</v>
      </c>
      <c r="T125" s="73"/>
      <c r="U125" s="24">
        <f>MEDIAN(U3:U122)</f>
        <v>42.598500000000001</v>
      </c>
      <c r="V125" s="26"/>
      <c r="W125" s="24">
        <f>MEDIAN(W3:W122)</f>
        <v>43.997889999999998</v>
      </c>
      <c r="X125" s="24">
        <f>MEDIAN(X3:X122)</f>
        <v>8.7995780000000003</v>
      </c>
      <c r="Y125" s="26"/>
      <c r="Z125" s="24">
        <f>MEDIAN(Z3:Z122)</f>
        <v>6.0045456000000001</v>
      </c>
      <c r="AA125" s="25">
        <f>MEDIAN(AA3:AA122)</f>
        <v>1.3477356</v>
      </c>
    </row>
    <row r="126" spans="1:28" ht="15.75" thickBot="1">
      <c r="D126" s="21" t="s">
        <v>26</v>
      </c>
      <c r="E126" s="84">
        <f>MAX(Table5[SizTB])</f>
        <v>12</v>
      </c>
      <c r="F126" s="90"/>
      <c r="G126" s="22">
        <f>MAX(Table5[AvgLatency])</f>
        <v>6</v>
      </c>
      <c r="H126" s="22">
        <f>MAX(Table5[SeekT])</f>
        <v>15</v>
      </c>
      <c r="I126" s="23"/>
      <c r="J126" s="91">
        <f>MAX(Table5[XferRate])</f>
        <v>261</v>
      </c>
      <c r="K126" s="69">
        <f>MAX(Table5[Warnty])</f>
        <v>5</v>
      </c>
      <c r="L126" s="50">
        <f>MAX(Table5[CycleCnt])</f>
        <v>600000</v>
      </c>
      <c r="M126" s="22">
        <f>MAX(Table5[WorkLoad])</f>
        <v>550</v>
      </c>
      <c r="N126" s="50">
        <f>MAX(Table5[MTBF])</f>
        <v>2500000</v>
      </c>
      <c r="O126" s="66">
        <f>MAX(O3:O122)</f>
        <v>1E+17</v>
      </c>
      <c r="P126" s="79">
        <f>MAX(Table5[MaxStartupWatts])</f>
        <v>31.200000000000003</v>
      </c>
      <c r="Q126" s="22">
        <f>MAX(Q3:Q122)</f>
        <v>11.27</v>
      </c>
      <c r="R126" s="22">
        <f>MAX(R3:R122)</f>
        <v>8.15</v>
      </c>
      <c r="S126" s="80">
        <f>MAX(S3:S122)</f>
        <v>1.6</v>
      </c>
      <c r="T126" s="69"/>
      <c r="U126" s="24">
        <f>MAX(U3:U122)</f>
        <v>324.93888888888887</v>
      </c>
      <c r="V126" s="23"/>
      <c r="W126" s="24">
        <f>MAX(W3:W122)</f>
        <v>324.93888888888887</v>
      </c>
      <c r="X126" s="24">
        <f>MAX(X3:X122)</f>
        <v>64.987777777777779</v>
      </c>
      <c r="Y126" s="23"/>
      <c r="Z126" s="24">
        <f>MAX(Z3:Z122)</f>
        <v>9.2917056000000002</v>
      </c>
      <c r="AA126" s="25">
        <f>MAX(AA3:AA122)</f>
        <v>11.212868</v>
      </c>
    </row>
    <row r="127" spans="1:28" ht="15.75" thickBot="1">
      <c r="D127" s="27" t="s">
        <v>44</v>
      </c>
      <c r="E127" s="67">
        <f>COUNT(Table5[SizTB])</f>
        <v>120</v>
      </c>
      <c r="F127" s="93"/>
      <c r="G127" s="28">
        <f>COUNT(Table5[AvgLatency])</f>
        <v>61</v>
      </c>
      <c r="H127" s="28">
        <f>COUNT(Table5[SeekT])</f>
        <v>26</v>
      </c>
      <c r="I127" s="29"/>
      <c r="J127" s="82">
        <f>COUNT(Table5[XferRate])</f>
        <v>97</v>
      </c>
      <c r="K127" s="70">
        <f>COUNT(Table5[Warnty])</f>
        <v>120</v>
      </c>
      <c r="L127" s="28">
        <f>COUNT(Table5[CycleCnt])</f>
        <v>84</v>
      </c>
      <c r="M127" s="28">
        <f>COUNT(Table5[WorkLoad])</f>
        <v>67</v>
      </c>
      <c r="N127" s="28">
        <f>COUNT(Table5[MTBF])</f>
        <v>72</v>
      </c>
      <c r="O127" s="67">
        <f>COUNT(Table5[RErrRate])</f>
        <v>101</v>
      </c>
      <c r="P127" s="81">
        <f>COUNT(Table5[MaxStartupWatts])</f>
        <v>75</v>
      </c>
      <c r="Q127" s="28">
        <f>COUNT(Table5[Watts Active])</f>
        <v>105</v>
      </c>
      <c r="R127" s="28">
        <f>COUNT(Table5[Watts Idle])</f>
        <v>109</v>
      </c>
      <c r="S127" s="82">
        <f>COUNT(Table5[WattsStandby])</f>
        <v>76</v>
      </c>
      <c r="T127" s="74"/>
      <c r="U127" s="28">
        <f>COUNT(Table5[$ TB])</f>
        <v>120</v>
      </c>
      <c r="V127" s="28"/>
      <c r="W127" s="28">
        <f>COUNT(Table5[$PerTB])</f>
        <v>120</v>
      </c>
      <c r="X127" s="28">
        <f>COUNTA(Table5[$ TB/year])</f>
        <v>120</v>
      </c>
      <c r="Y127" s="29"/>
      <c r="Z127" s="28">
        <f>COUNT(Table5[Energy$year])</f>
        <v>103</v>
      </c>
      <c r="AA127" s="30">
        <f>COUNT(Table5[Energy$yearPerTB])</f>
        <v>103</v>
      </c>
    </row>
    <row r="130" spans="1:8" ht="15.75" thickBot="1"/>
    <row r="131" spans="1:8" ht="15.75" thickBot="1">
      <c r="A131" s="158" t="s">
        <v>27</v>
      </c>
      <c r="B131" s="159"/>
      <c r="C131" s="156" t="s">
        <v>22</v>
      </c>
      <c r="D131" s="157"/>
    </row>
    <row r="132" spans="1:8" ht="15.75" thickBot="1">
      <c r="A132" s="145">
        <f>MAX(Table5[Date])</f>
        <v>43015</v>
      </c>
      <c r="B132" s="146"/>
      <c r="C132" s="32" t="s">
        <v>19</v>
      </c>
      <c r="D132" s="40">
        <v>0.125</v>
      </c>
      <c r="F132" s="35"/>
      <c r="G132" s="35"/>
      <c r="H132" s="35"/>
    </row>
    <row r="133" spans="1:8" ht="15.75" thickBot="1">
      <c r="C133" s="32" t="s">
        <v>32</v>
      </c>
      <c r="D133" s="33">
        <v>0.2</v>
      </c>
      <c r="F133" s="36"/>
      <c r="G133" s="36"/>
      <c r="H133" s="36"/>
    </row>
    <row r="134" spans="1:8" ht="15.75" thickBot="1">
      <c r="A134" s="143" t="s">
        <v>88</v>
      </c>
      <c r="B134" s="144"/>
      <c r="C134" s="32" t="s">
        <v>39</v>
      </c>
      <c r="D134" s="34">
        <v>5</v>
      </c>
      <c r="F134" s="37"/>
      <c r="G134" s="37"/>
      <c r="H134" s="37"/>
    </row>
    <row r="135" spans="1:8" ht="15.75" thickBot="1">
      <c r="A135" s="141">
        <f>MIN(Table5[Date])</f>
        <v>42842</v>
      </c>
      <c r="B135" s="142"/>
      <c r="C135" s="32" t="s">
        <v>53</v>
      </c>
      <c r="D135" s="33">
        <v>0.11</v>
      </c>
      <c r="F135" s="36"/>
      <c r="G135" s="36"/>
      <c r="H135" s="36"/>
    </row>
    <row r="136" spans="1:8" ht="15.75" thickBot="1">
      <c r="C136" s="32" t="s">
        <v>33</v>
      </c>
      <c r="D136" s="39">
        <f>365.24*Hours_In_Day</f>
        <v>8765.76</v>
      </c>
    </row>
    <row r="137" spans="1:8" ht="15.75" thickBot="1">
      <c r="C137" s="32" t="s">
        <v>62</v>
      </c>
      <c r="D137" s="34">
        <v>24</v>
      </c>
      <c r="F137" s="37"/>
      <c r="G137" s="37"/>
      <c r="H137" s="37"/>
    </row>
    <row r="138" spans="1:8" ht="15.75" thickBot="1">
      <c r="C138" s="32" t="s">
        <v>64</v>
      </c>
      <c r="D138" s="34">
        <f>Days_In_Month*Hours_In_Day</f>
        <v>730.48</v>
      </c>
      <c r="F138" s="37"/>
      <c r="G138" s="37"/>
      <c r="H138" s="37"/>
    </row>
    <row r="139" spans="1:8" ht="15.75" thickBot="1">
      <c r="C139" s="32" t="s">
        <v>61</v>
      </c>
      <c r="D139" s="34">
        <f>Days_in_Year/Months_In_Year</f>
        <v>30.436666666666667</v>
      </c>
    </row>
    <row r="140" spans="1:8" ht="15.75" thickBot="1">
      <c r="C140" s="32" t="s">
        <v>69</v>
      </c>
      <c r="D140" s="34">
        <v>365.24</v>
      </c>
    </row>
    <row r="141" spans="1:8" ht="15.75" thickBot="1">
      <c r="C141" s="32" t="s">
        <v>63</v>
      </c>
      <c r="D141" s="34">
        <v>12</v>
      </c>
      <c r="F141" s="37"/>
      <c r="G141" s="37"/>
      <c r="H141" s="37"/>
    </row>
    <row r="142" spans="1:8">
      <c r="C142" s="4"/>
    </row>
    <row r="143" spans="1:8">
      <c r="A143" t="s">
        <v>46</v>
      </c>
    </row>
  </sheetData>
  <sortState ref="A2:R64">
    <sortCondition ref="B2:B64"/>
    <sortCondition ref="C2:C64"/>
    <sortCondition ref="F2:F64"/>
  </sortState>
  <mergeCells count="11">
    <mergeCell ref="Z1:AA1"/>
    <mergeCell ref="C131:D131"/>
    <mergeCell ref="A131:B131"/>
    <mergeCell ref="F1:J1"/>
    <mergeCell ref="P1:S1"/>
    <mergeCell ref="A135:B135"/>
    <mergeCell ref="A134:B134"/>
    <mergeCell ref="A132:B132"/>
    <mergeCell ref="V1:X1"/>
    <mergeCell ref="T1:U1"/>
    <mergeCell ref="K1:O1"/>
  </mergeCells>
  <conditionalFormatting sqref="U3:U122">
    <cfRule type="top10" dxfId="82" priority="272" bottom="1" rank="20"/>
  </conditionalFormatting>
  <conditionalFormatting sqref="X3:X122">
    <cfRule type="top10" dxfId="81" priority="274" bottom="1" rank="20"/>
  </conditionalFormatting>
  <conditionalFormatting sqref="AA3:AA122">
    <cfRule type="aboveAverage" dxfId="80" priority="276" aboveAverage="0"/>
  </conditionalFormatting>
  <conditionalFormatting sqref="Z3:AA122">
    <cfRule type="colorScale" priority="333">
      <colorScale>
        <cfvo type="min" val="0"/>
        <cfvo type="formula" val="$Z$124"/>
        <cfvo type="max" val="0"/>
        <color theme="9"/>
        <color rgb="FFFFEB84"/>
        <color theme="5"/>
      </colorScale>
    </cfRule>
  </conditionalFormatting>
  <pageMargins left="0.7" right="0.7" top="0.75" bottom="0.75" header="0.3" footer="0.3"/>
  <pageSetup orientation="portrait" verticalDpi="0" r:id="rId1"/>
  <cellWatches>
    <cellWatch r="X3"/>
  </cellWatches>
  <ignoredErrors>
    <ignoredError sqref="P63 P118:P119 P123:P126"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F16"/>
  <sheetViews>
    <sheetView topLeftCell="A2" workbookViewId="0">
      <selection activeCell="E17" sqref="E17"/>
    </sheetView>
  </sheetViews>
  <sheetFormatPr defaultRowHeight="15"/>
  <cols>
    <col min="1" max="1" width="13.140625" customWidth="1"/>
    <col min="2" max="2" width="14.7109375" customWidth="1"/>
    <col min="3" max="4" width="6.5703125" customWidth="1"/>
    <col min="5" max="5" width="15.42578125" bestFit="1" customWidth="1"/>
    <col min="6" max="6" width="19.5703125" customWidth="1"/>
  </cols>
  <sheetData>
    <row r="1" spans="1:6" ht="15.75" thickBot="1">
      <c r="E1" s="131" t="s">
        <v>59</v>
      </c>
      <c r="F1" s="132" t="s">
        <v>60</v>
      </c>
    </row>
    <row r="2" spans="1:6" ht="15.75" thickBot="1">
      <c r="A2" s="166" t="s">
        <v>108</v>
      </c>
      <c r="B2" s="167"/>
      <c r="E2" s="168" t="s">
        <v>115</v>
      </c>
      <c r="F2" s="168"/>
    </row>
    <row r="3" spans="1:6">
      <c r="A3" s="122" t="s">
        <v>98</v>
      </c>
      <c r="B3" s="123" t="s">
        <v>99</v>
      </c>
      <c r="E3" s="135" t="s">
        <v>98</v>
      </c>
      <c r="F3" s="136" t="s">
        <v>112</v>
      </c>
    </row>
    <row r="4" spans="1:6">
      <c r="A4" s="124">
        <v>5400</v>
      </c>
      <c r="B4" s="125">
        <v>44.086363888888883</v>
      </c>
      <c r="E4" s="134">
        <v>0.6</v>
      </c>
      <c r="F4" s="133">
        <v>39.733333333333334</v>
      </c>
    </row>
    <row r="5" spans="1:6">
      <c r="A5" s="124">
        <v>5760</v>
      </c>
      <c r="B5" s="125">
        <v>28.331666666666667</v>
      </c>
      <c r="E5" s="134">
        <v>0.75</v>
      </c>
      <c r="F5" s="133">
        <v>17.890080000000001</v>
      </c>
    </row>
    <row r="6" spans="1:6">
      <c r="A6" s="124">
        <v>5900</v>
      </c>
      <c r="B6" s="125">
        <v>39.487885416666671</v>
      </c>
      <c r="E6" s="134">
        <v>1</v>
      </c>
      <c r="F6" s="133">
        <v>19.716954285714287</v>
      </c>
    </row>
    <row r="7" spans="1:6">
      <c r="A7" s="124">
        <v>7200</v>
      </c>
      <c r="B7" s="125">
        <v>49.087371835443022</v>
      </c>
      <c r="E7" s="134">
        <v>1.8</v>
      </c>
      <c r="F7" s="133">
        <v>64.987777777777779</v>
      </c>
    </row>
    <row r="8" spans="1:6">
      <c r="A8" s="124">
        <v>10520</v>
      </c>
      <c r="B8" s="125">
        <v>324.93888888888887</v>
      </c>
      <c r="E8" s="134">
        <v>2</v>
      </c>
      <c r="F8" s="133">
        <v>14.440740000000002</v>
      </c>
    </row>
    <row r="9" spans="1:6" ht="15.75" thickBot="1">
      <c r="A9" s="126">
        <v>15030</v>
      </c>
      <c r="B9" s="127">
        <v>198.66666666666669</v>
      </c>
      <c r="E9" s="134">
        <v>3</v>
      </c>
      <c r="F9" s="133">
        <v>10.437808</v>
      </c>
    </row>
    <row r="10" spans="1:6">
      <c r="D10" s="128"/>
      <c r="E10" s="134">
        <v>4</v>
      </c>
      <c r="F10" s="133">
        <v>8.8292365000000004</v>
      </c>
    </row>
    <row r="11" spans="1:6">
      <c r="E11" s="134">
        <v>5</v>
      </c>
      <c r="F11" s="133">
        <v>12.814000000000002</v>
      </c>
    </row>
    <row r="12" spans="1:6">
      <c r="E12" s="134">
        <v>6</v>
      </c>
      <c r="F12" s="133">
        <v>7.9044813333333321</v>
      </c>
    </row>
    <row r="13" spans="1:6">
      <c r="E13" s="134">
        <v>8</v>
      </c>
      <c r="F13" s="133">
        <v>7.8287682500000004</v>
      </c>
    </row>
    <row r="14" spans="1:6">
      <c r="E14" s="134">
        <v>10</v>
      </c>
      <c r="F14" s="133">
        <v>8.1258584999999997</v>
      </c>
    </row>
    <row r="15" spans="1:6">
      <c r="E15" s="134">
        <v>12</v>
      </c>
      <c r="F15" s="133">
        <v>9.3720555555555549</v>
      </c>
    </row>
    <row r="16" spans="1:6">
      <c r="E16" s="137" t="s">
        <v>113</v>
      </c>
      <c r="F16" s="133">
        <v>12.058462744281046</v>
      </c>
    </row>
  </sheetData>
  <mergeCells count="2">
    <mergeCell ref="A2:B2"/>
    <mergeCell ref="E2:F2"/>
  </mergeCells>
  <pageMargins left="0.7" right="0.7" top="0.75" bottom="0.75" header="0.3" footer="0.3"/>
  <pageSetup orientation="portrait" verticalDpi="0" r:id="rId3"/>
  <drawing r:id="rId4"/>
</worksheet>
</file>

<file path=xl/worksheets/sheet3.xml><?xml version="1.0" encoding="utf-8"?>
<worksheet xmlns="http://schemas.openxmlformats.org/spreadsheetml/2006/main" xmlns:r="http://schemas.openxmlformats.org/officeDocument/2006/relationships">
  <dimension ref="A1:A18"/>
  <sheetViews>
    <sheetView topLeftCell="A26" workbookViewId="0">
      <selection activeCell="K39" sqref="K39"/>
    </sheetView>
  </sheetViews>
  <sheetFormatPr defaultRowHeight="15"/>
  <cols>
    <col min="2" max="2" width="14.7109375" customWidth="1"/>
    <col min="3" max="3" width="12.140625" customWidth="1"/>
    <col min="4" max="4" width="12.140625" bestFit="1" customWidth="1"/>
  </cols>
  <sheetData>
    <row r="1" spans="1:1">
      <c r="A1" t="s">
        <v>65</v>
      </c>
    </row>
    <row r="18" spans="1:1">
      <c r="A18" t="s">
        <v>97</v>
      </c>
    </row>
  </sheetData>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dimension ref="A1:AB8"/>
  <sheetViews>
    <sheetView workbookViewId="0">
      <selection activeCell="A8" sqref="A8"/>
    </sheetView>
  </sheetViews>
  <sheetFormatPr defaultRowHeight="15"/>
  <sheetData>
    <row r="1" spans="1:28" s="2" customFormat="1" ht="15.75" thickBot="1">
      <c r="A1" s="8" t="s">
        <v>0</v>
      </c>
      <c r="B1" s="8" t="s">
        <v>1</v>
      </c>
      <c r="C1" s="8" t="s">
        <v>4</v>
      </c>
      <c r="D1" s="41" t="s">
        <v>59</v>
      </c>
      <c r="E1" s="9" t="s">
        <v>29</v>
      </c>
      <c r="F1" s="85" t="s">
        <v>7</v>
      </c>
      <c r="G1" s="9" t="s">
        <v>83</v>
      </c>
      <c r="H1" s="9" t="s">
        <v>86</v>
      </c>
      <c r="I1" s="42" t="s">
        <v>78</v>
      </c>
      <c r="J1" s="86" t="s">
        <v>75</v>
      </c>
      <c r="K1" s="42" t="s">
        <v>28</v>
      </c>
      <c r="L1" s="31" t="s">
        <v>74</v>
      </c>
      <c r="M1" s="31" t="s">
        <v>73</v>
      </c>
      <c r="N1" s="31" t="s">
        <v>71</v>
      </c>
      <c r="O1" s="41" t="s">
        <v>72</v>
      </c>
      <c r="P1" s="43" t="s">
        <v>41</v>
      </c>
      <c r="Q1" s="31" t="s">
        <v>8</v>
      </c>
      <c r="R1" s="31" t="s">
        <v>9</v>
      </c>
      <c r="S1" s="44" t="s">
        <v>35</v>
      </c>
      <c r="T1" s="42" t="s">
        <v>2</v>
      </c>
      <c r="U1" s="44" t="s">
        <v>3</v>
      </c>
      <c r="V1" s="43" t="s">
        <v>37</v>
      </c>
      <c r="W1" s="31" t="s">
        <v>56</v>
      </c>
      <c r="X1" s="44" t="s">
        <v>21</v>
      </c>
      <c r="Y1" s="42" t="s">
        <v>36</v>
      </c>
      <c r="Z1" s="31" t="s">
        <v>23</v>
      </c>
      <c r="AA1" s="31" t="s">
        <v>55</v>
      </c>
      <c r="AB1" s="15" t="s">
        <v>47</v>
      </c>
    </row>
    <row r="2" spans="1:28" ht="15.75" thickTop="1">
      <c r="D2" s="115" t="s">
        <v>60</v>
      </c>
      <c r="E2" s="116">
        <v>10</v>
      </c>
      <c r="T2" t="s">
        <v>91</v>
      </c>
    </row>
    <row r="4" spans="1:28">
      <c r="A4" s="117">
        <f>DVAR('Drive Table'!$A$2:$AB$122,"Cost",$A$1:$AB$2)</f>
        <v>1921.1858553571094</v>
      </c>
      <c r="B4" t="s">
        <v>96</v>
      </c>
    </row>
    <row r="5" spans="1:28">
      <c r="A5" s="117">
        <f>DAVERAGE('Drive Table'!$A$2:$AB$122,"Cost",$A$1:$AB$2)</f>
        <v>378.24375000000003</v>
      </c>
      <c r="B5" t="s">
        <v>92</v>
      </c>
    </row>
    <row r="6" spans="1:28">
      <c r="A6" s="117">
        <f>DMIN('Drive Table'!$A$2:$AB$122,"Cost",$A$1:$AB$2)</f>
        <v>329.99</v>
      </c>
      <c r="B6" t="s">
        <v>93</v>
      </c>
    </row>
    <row r="7" spans="1:28">
      <c r="A7" s="117">
        <f>DMAX('Drive Table'!$A$2:$AB$122,"Cost",$A$1:$AB$2)</f>
        <v>440.77</v>
      </c>
      <c r="B7" t="s">
        <v>94</v>
      </c>
    </row>
    <row r="8" spans="1:28">
      <c r="A8">
        <f>DCOUNTA('Drive Table'!$A$2:$AB$122,"Cost",$A$1:$AB$2)</f>
        <v>8</v>
      </c>
      <c r="B8" t="s">
        <v>95</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Drive Table</vt:lpstr>
      <vt:lpstr>Tables</vt:lpstr>
      <vt:lpstr>Charts</vt:lpstr>
      <vt:lpstr>Database</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Analysis</dc:title>
  <dc:creator/>
  <dc:description>(c) 2017 - All Right Reserved</dc:description>
  <cp:lastModifiedBy/>
  <dcterms:created xsi:type="dcterms:W3CDTF">2017-03-24T23:12:53Z</dcterms:created>
  <dcterms:modified xsi:type="dcterms:W3CDTF">2017-10-07T05:10:59Z</dcterms:modified>
</cp:coreProperties>
</file>