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0" yWindow="0" windowWidth="21570" windowHeight="8595"/>
  </bookViews>
  <sheets>
    <sheet name="Drive Table" sheetId="1" r:id="rId1"/>
    <sheet name="Charts" sheetId="2" r:id="rId2"/>
  </sheets>
  <definedNames>
    <definedName name="Active_Duty_Cycle">'Drive Table'!$D$120</definedName>
    <definedName name="CompareWarrYrs">'Drive Table'!$D$121</definedName>
    <definedName name="CostPerKWH">'Drive Table'!$D$119</definedName>
    <definedName name="Day_in_Year">'Drive Table'!$D$127</definedName>
    <definedName name="Days_In_Month">'Drive Table'!$D$126</definedName>
    <definedName name="Days_in_Year">'Drive Table'!$D$127</definedName>
    <definedName name="Hours_In_Day">'Drive Table'!$D$124</definedName>
    <definedName name="Hours_In_Month">'Drive Table'!$D$125</definedName>
    <definedName name="Incremental_Warr_Yr">'Drive Table'!$D$122</definedName>
    <definedName name="Months_In_Year">'Drive Table'!$D$128</definedName>
    <definedName name="Power_On_Hours_Year">'Drive Table'!$D$123</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M17" i="1"/>
  <c r="M16"/>
  <c r="M15"/>
  <c r="X44"/>
  <c r="Y44" s="1"/>
  <c r="X43"/>
  <c r="Y43" s="1"/>
  <c r="X42"/>
  <c r="Y42" s="1"/>
  <c r="N46"/>
  <c r="N45"/>
  <c r="N43"/>
  <c r="N44"/>
  <c r="T44"/>
  <c r="U44" s="1"/>
  <c r="V44" s="1"/>
  <c r="S44"/>
  <c r="G44"/>
  <c r="G3"/>
  <c r="N79"/>
  <c r="M79"/>
  <c r="X79"/>
  <c r="Y79" s="1"/>
  <c r="T79"/>
  <c r="U79" s="1"/>
  <c r="V79" s="1"/>
  <c r="S79"/>
  <c r="G79"/>
  <c r="M77"/>
  <c r="M76"/>
  <c r="M75"/>
  <c r="M74"/>
  <c r="M73"/>
  <c r="M86"/>
  <c r="M87"/>
  <c r="M85"/>
  <c r="M84"/>
  <c r="M83"/>
  <c r="M82"/>
  <c r="M81"/>
  <c r="M80"/>
  <c r="H114"/>
  <c r="H113"/>
  <c r="H112"/>
  <c r="H111"/>
  <c r="H110"/>
  <c r="T102"/>
  <c r="U102" s="1"/>
  <c r="V102" s="1"/>
  <c r="S102"/>
  <c r="M102"/>
  <c r="G102"/>
  <c r="M95"/>
  <c r="M96"/>
  <c r="M97"/>
  <c r="M98"/>
  <c r="M99"/>
  <c r="M100"/>
  <c r="M101"/>
  <c r="M94"/>
  <c r="J114"/>
  <c r="K114"/>
  <c r="L114"/>
  <c r="L113"/>
  <c r="L112"/>
  <c r="L111"/>
  <c r="L110"/>
  <c r="K113"/>
  <c r="K112"/>
  <c r="K111"/>
  <c r="K110"/>
  <c r="J113"/>
  <c r="J112"/>
  <c r="J111"/>
  <c r="J110"/>
  <c r="T43"/>
  <c r="U43" s="1"/>
  <c r="V43" s="1"/>
  <c r="S43"/>
  <c r="G43"/>
  <c r="D126"/>
  <c r="D125" s="1"/>
  <c r="D123"/>
  <c r="X86" s="1"/>
  <c r="Y86" s="1"/>
  <c r="T87"/>
  <c r="U87" s="1"/>
  <c r="V87" s="1"/>
  <c r="S87"/>
  <c r="G87"/>
  <c r="T86"/>
  <c r="U86" s="1"/>
  <c r="V86" s="1"/>
  <c r="S86"/>
  <c r="G86"/>
  <c r="N81"/>
  <c r="N82"/>
  <c r="N83"/>
  <c r="N84"/>
  <c r="N85"/>
  <c r="N96"/>
  <c r="N105"/>
  <c r="N107"/>
  <c r="N108"/>
  <c r="N109"/>
  <c r="T108"/>
  <c r="U108" s="1"/>
  <c r="V108" s="1"/>
  <c r="S108"/>
  <c r="G108"/>
  <c r="N97"/>
  <c r="N99"/>
  <c r="N100"/>
  <c r="N101"/>
  <c r="X102" l="1"/>
  <c r="Y102" s="1"/>
  <c r="M110"/>
  <c r="M114"/>
  <c r="M113"/>
  <c r="M112"/>
  <c r="M111"/>
  <c r="X108"/>
  <c r="Y108" s="1"/>
  <c r="X81"/>
  <c r="Y81" s="1"/>
  <c r="X87"/>
  <c r="Y87" s="1"/>
  <c r="X82"/>
  <c r="Y82" s="1"/>
  <c r="X101"/>
  <c r="Y101" s="1"/>
  <c r="X83"/>
  <c r="Y83" s="1"/>
  <c r="X84"/>
  <c r="Y84" s="1"/>
  <c r="X85"/>
  <c r="Y85" s="1"/>
  <c r="T101"/>
  <c r="U101" s="1"/>
  <c r="V101" s="1"/>
  <c r="S101"/>
  <c r="G101"/>
  <c r="T72" l="1"/>
  <c r="U72" s="1"/>
  <c r="V72" s="1"/>
  <c r="S72"/>
  <c r="G72"/>
  <c r="T71"/>
  <c r="U71" s="1"/>
  <c r="V71" s="1"/>
  <c r="S71"/>
  <c r="G71"/>
  <c r="T70"/>
  <c r="U70" s="1"/>
  <c r="V70" s="1"/>
  <c r="S70"/>
  <c r="G70"/>
  <c r="T67"/>
  <c r="U67" s="1"/>
  <c r="V67" s="1"/>
  <c r="S67"/>
  <c r="G67"/>
  <c r="T68"/>
  <c r="U68" s="1"/>
  <c r="V68" s="1"/>
  <c r="S68"/>
  <c r="G68"/>
  <c r="T69"/>
  <c r="U69" s="1"/>
  <c r="V69" s="1"/>
  <c r="S69"/>
  <c r="G69"/>
  <c r="A119" l="1"/>
  <c r="I114" l="1"/>
  <c r="I113"/>
  <c r="I112"/>
  <c r="I111"/>
  <c r="I110"/>
  <c r="F114"/>
  <c r="F113"/>
  <c r="F112"/>
  <c r="F111"/>
  <c r="F110"/>
  <c r="T3" l="1"/>
  <c r="T4"/>
  <c r="T5"/>
  <c r="T6"/>
  <c r="T7"/>
  <c r="T8"/>
  <c r="T9"/>
  <c r="T10"/>
  <c r="T11"/>
  <c r="T12"/>
  <c r="T13"/>
  <c r="T14"/>
  <c r="T15"/>
  <c r="T16"/>
  <c r="T18"/>
  <c r="T19"/>
  <c r="T20"/>
  <c r="T21"/>
  <c r="T22"/>
  <c r="T23"/>
  <c r="T24"/>
  <c r="T25"/>
  <c r="T26"/>
  <c r="T27"/>
  <c r="T28"/>
  <c r="T29"/>
  <c r="T30"/>
  <c r="T31"/>
  <c r="T32"/>
  <c r="T33"/>
  <c r="T34"/>
  <c r="T35"/>
  <c r="T36"/>
  <c r="T37"/>
  <c r="T38"/>
  <c r="T39"/>
  <c r="T40"/>
  <c r="T41"/>
  <c r="T42"/>
  <c r="T45"/>
  <c r="T46"/>
  <c r="T47"/>
  <c r="T48"/>
  <c r="T49"/>
  <c r="T50"/>
  <c r="T51"/>
  <c r="T52"/>
  <c r="T53"/>
  <c r="T54"/>
  <c r="T55"/>
  <c r="T57"/>
  <c r="T58"/>
  <c r="T59"/>
  <c r="T60"/>
  <c r="T61"/>
  <c r="T62"/>
  <c r="T63"/>
  <c r="T64"/>
  <c r="T65"/>
  <c r="T66"/>
  <c r="T73"/>
  <c r="T74"/>
  <c r="T75"/>
  <c r="T76"/>
  <c r="T77"/>
  <c r="T78"/>
  <c r="T80"/>
  <c r="T81"/>
  <c r="T82"/>
  <c r="T83"/>
  <c r="T84"/>
  <c r="T88"/>
  <c r="T89"/>
  <c r="T90"/>
  <c r="T91"/>
  <c r="T92"/>
  <c r="T93"/>
  <c r="T94"/>
  <c r="T95"/>
  <c r="T96"/>
  <c r="T97"/>
  <c r="T98"/>
  <c r="T99"/>
  <c r="T100"/>
  <c r="T103"/>
  <c r="T104"/>
  <c r="T105"/>
  <c r="T106"/>
  <c r="T107"/>
  <c r="X9" l="1"/>
  <c r="X106"/>
  <c r="X100"/>
  <c r="X96"/>
  <c r="X92"/>
  <c r="X88"/>
  <c r="X75"/>
  <c r="X65"/>
  <c r="X61"/>
  <c r="X57"/>
  <c r="X53"/>
  <c r="X49"/>
  <c r="X45"/>
  <c r="X38"/>
  <c r="X33"/>
  <c r="X29"/>
  <c r="X25"/>
  <c r="Y25" s="1"/>
  <c r="X21"/>
  <c r="X17"/>
  <c r="X13"/>
  <c r="X107"/>
  <c r="X103"/>
  <c r="X97"/>
  <c r="X93"/>
  <c r="X89"/>
  <c r="X62"/>
  <c r="X54"/>
  <c r="X46"/>
  <c r="X34"/>
  <c r="X26"/>
  <c r="Y26" s="1"/>
  <c r="X14"/>
  <c r="X105"/>
  <c r="X99"/>
  <c r="X95"/>
  <c r="X91"/>
  <c r="X78"/>
  <c r="X74"/>
  <c r="X64"/>
  <c r="X60"/>
  <c r="X56"/>
  <c r="X52"/>
  <c r="X48"/>
  <c r="X41"/>
  <c r="X36"/>
  <c r="X32"/>
  <c r="X28"/>
  <c r="X24"/>
  <c r="Y24" s="1"/>
  <c r="X20"/>
  <c r="X16"/>
  <c r="X12"/>
  <c r="X76"/>
  <c r="X66"/>
  <c r="X58"/>
  <c r="X50"/>
  <c r="X39"/>
  <c r="X30"/>
  <c r="X22"/>
  <c r="Y22" s="1"/>
  <c r="X18"/>
  <c r="X10"/>
  <c r="X109"/>
  <c r="X104"/>
  <c r="X98"/>
  <c r="X94"/>
  <c r="X90"/>
  <c r="X77"/>
  <c r="X73"/>
  <c r="X63"/>
  <c r="X59"/>
  <c r="X55"/>
  <c r="X51"/>
  <c r="X47"/>
  <c r="X40"/>
  <c r="X35"/>
  <c r="X31"/>
  <c r="X27"/>
  <c r="Y27" s="1"/>
  <c r="X23"/>
  <c r="Y23" s="1"/>
  <c r="X19"/>
  <c r="X15"/>
  <c r="X11"/>
  <c r="N23"/>
  <c r="N22"/>
  <c r="N26"/>
  <c r="N25"/>
  <c r="N24"/>
  <c r="U26"/>
  <c r="V26" s="1"/>
  <c r="S26"/>
  <c r="G26"/>
  <c r="U25"/>
  <c r="V25" s="1"/>
  <c r="S25"/>
  <c r="G25"/>
  <c r="U24"/>
  <c r="V24" s="1"/>
  <c r="S24"/>
  <c r="G24"/>
  <c r="U22"/>
  <c r="V22" s="1"/>
  <c r="S22"/>
  <c r="G22"/>
  <c r="U23"/>
  <c r="V23" s="1"/>
  <c r="S23"/>
  <c r="G23"/>
  <c r="R56" l="1"/>
  <c r="T56" s="1"/>
  <c r="P114" l="1"/>
  <c r="Y109"/>
  <c r="Y105"/>
  <c r="Y104"/>
  <c r="Y99"/>
  <c r="Y98"/>
  <c r="Y95"/>
  <c r="Y94"/>
  <c r="Y91"/>
  <c r="Y90"/>
  <c r="Y78"/>
  <c r="Y77"/>
  <c r="Y75"/>
  <c r="Y73"/>
  <c r="Y65"/>
  <c r="Y63"/>
  <c r="Y61"/>
  <c r="Y60"/>
  <c r="Y59"/>
  <c r="Y57"/>
  <c r="Y55"/>
  <c r="Y53"/>
  <c r="Y52"/>
  <c r="Y51"/>
  <c r="Y49"/>
  <c r="Y47"/>
  <c r="Y41"/>
  <c r="Y40"/>
  <c r="Y38"/>
  <c r="Y35"/>
  <c r="Y33"/>
  <c r="Y32"/>
  <c r="Y31"/>
  <c r="Y29"/>
  <c r="Y21"/>
  <c r="Y20"/>
  <c r="Y19"/>
  <c r="Y18"/>
  <c r="Y17"/>
  <c r="Y16"/>
  <c r="Y14"/>
  <c r="Y11"/>
  <c r="Y9"/>
  <c r="G4"/>
  <c r="G5"/>
  <c r="G6"/>
  <c r="G7"/>
  <c r="G8"/>
  <c r="G9"/>
  <c r="G10"/>
  <c r="G11"/>
  <c r="G12"/>
  <c r="G13"/>
  <c r="G14"/>
  <c r="G15"/>
  <c r="G16"/>
  <c r="G17"/>
  <c r="G18"/>
  <c r="G19"/>
  <c r="G20"/>
  <c r="G21"/>
  <c r="G27"/>
  <c r="G28"/>
  <c r="G29"/>
  <c r="G30"/>
  <c r="G31"/>
  <c r="G32"/>
  <c r="G33"/>
  <c r="G34"/>
  <c r="G35"/>
  <c r="G36"/>
  <c r="G37"/>
  <c r="G38"/>
  <c r="G39"/>
  <c r="G40"/>
  <c r="G41"/>
  <c r="G42"/>
  <c r="G45"/>
  <c r="G46"/>
  <c r="G47"/>
  <c r="G48"/>
  <c r="G49"/>
  <c r="G50"/>
  <c r="G51"/>
  <c r="G52"/>
  <c r="G53"/>
  <c r="G54"/>
  <c r="G55"/>
  <c r="G56"/>
  <c r="G57"/>
  <c r="G58"/>
  <c r="G59"/>
  <c r="G60"/>
  <c r="G61"/>
  <c r="G62"/>
  <c r="G63"/>
  <c r="G64"/>
  <c r="G65"/>
  <c r="G66"/>
  <c r="G73"/>
  <c r="G74"/>
  <c r="G75"/>
  <c r="G76"/>
  <c r="G77"/>
  <c r="G78"/>
  <c r="G80"/>
  <c r="G81"/>
  <c r="G82"/>
  <c r="G83"/>
  <c r="G84"/>
  <c r="G85"/>
  <c r="G88"/>
  <c r="G89"/>
  <c r="G90"/>
  <c r="G91"/>
  <c r="G92"/>
  <c r="G93"/>
  <c r="G94"/>
  <c r="G95"/>
  <c r="G96"/>
  <c r="G97"/>
  <c r="G98"/>
  <c r="G99"/>
  <c r="G100"/>
  <c r="G103"/>
  <c r="G104"/>
  <c r="G105"/>
  <c r="G106"/>
  <c r="G107"/>
  <c r="G109"/>
  <c r="U3"/>
  <c r="V3" s="1"/>
  <c r="U4"/>
  <c r="V4" s="1"/>
  <c r="U5"/>
  <c r="V5" s="1"/>
  <c r="U6"/>
  <c r="V6" s="1"/>
  <c r="U7"/>
  <c r="V7" s="1"/>
  <c r="U8"/>
  <c r="V8" s="1"/>
  <c r="U9"/>
  <c r="V9" s="1"/>
  <c r="U10"/>
  <c r="V10" s="1"/>
  <c r="U11"/>
  <c r="V11" s="1"/>
  <c r="U12"/>
  <c r="V12" s="1"/>
  <c r="U13"/>
  <c r="V13" s="1"/>
  <c r="U14"/>
  <c r="V14" s="1"/>
  <c r="U15"/>
  <c r="V15" s="1"/>
  <c r="U16"/>
  <c r="V16" s="1"/>
  <c r="U18"/>
  <c r="V18" s="1"/>
  <c r="U19"/>
  <c r="V19" s="1"/>
  <c r="U20"/>
  <c r="V20" s="1"/>
  <c r="U21"/>
  <c r="V21" s="1"/>
  <c r="U27"/>
  <c r="V27" s="1"/>
  <c r="U28"/>
  <c r="V28" s="1"/>
  <c r="U29"/>
  <c r="V29" s="1"/>
  <c r="U30"/>
  <c r="V30" s="1"/>
  <c r="U31"/>
  <c r="V31" s="1"/>
  <c r="U32"/>
  <c r="V32" s="1"/>
  <c r="U33"/>
  <c r="V33" s="1"/>
  <c r="U34"/>
  <c r="V34" s="1"/>
  <c r="U35"/>
  <c r="V35" s="1"/>
  <c r="U36"/>
  <c r="V36" s="1"/>
  <c r="U37"/>
  <c r="V37" s="1"/>
  <c r="U38"/>
  <c r="V38" s="1"/>
  <c r="U39"/>
  <c r="V39" s="1"/>
  <c r="U40"/>
  <c r="V40" s="1"/>
  <c r="U41"/>
  <c r="V41" s="1"/>
  <c r="U42"/>
  <c r="V42" s="1"/>
  <c r="U45"/>
  <c r="V45" s="1"/>
  <c r="U46"/>
  <c r="V46" s="1"/>
  <c r="U47"/>
  <c r="V47" s="1"/>
  <c r="U48"/>
  <c r="V48" s="1"/>
  <c r="U49"/>
  <c r="V49" s="1"/>
  <c r="U50"/>
  <c r="V50" s="1"/>
  <c r="U51"/>
  <c r="V51" s="1"/>
  <c r="U52"/>
  <c r="V52" s="1"/>
  <c r="U53"/>
  <c r="V53" s="1"/>
  <c r="U54"/>
  <c r="V54" s="1"/>
  <c r="U55"/>
  <c r="V55" s="1"/>
  <c r="U56"/>
  <c r="V56" s="1"/>
  <c r="U57"/>
  <c r="V57" s="1"/>
  <c r="U58"/>
  <c r="V58" s="1"/>
  <c r="U59"/>
  <c r="V59" s="1"/>
  <c r="U60"/>
  <c r="V60" s="1"/>
  <c r="U61"/>
  <c r="V61" s="1"/>
  <c r="U62"/>
  <c r="V62" s="1"/>
  <c r="U63"/>
  <c r="V63" s="1"/>
  <c r="U64"/>
  <c r="V64" s="1"/>
  <c r="U65"/>
  <c r="V65" s="1"/>
  <c r="U66"/>
  <c r="V66" s="1"/>
  <c r="U73"/>
  <c r="V73" s="1"/>
  <c r="U74"/>
  <c r="V74" s="1"/>
  <c r="U75"/>
  <c r="V75" s="1"/>
  <c r="U76"/>
  <c r="V76" s="1"/>
  <c r="U77"/>
  <c r="V77" s="1"/>
  <c r="U78"/>
  <c r="V78" s="1"/>
  <c r="U80"/>
  <c r="V80" s="1"/>
  <c r="U81"/>
  <c r="V81" s="1"/>
  <c r="U82"/>
  <c r="V82" s="1"/>
  <c r="U83"/>
  <c r="V83" s="1"/>
  <c r="U84"/>
  <c r="V84" s="1"/>
  <c r="U88"/>
  <c r="V88" s="1"/>
  <c r="U89"/>
  <c r="V89" s="1"/>
  <c r="U90"/>
  <c r="V90" s="1"/>
  <c r="U91"/>
  <c r="V91" s="1"/>
  <c r="U92"/>
  <c r="V92" s="1"/>
  <c r="U93"/>
  <c r="V93" s="1"/>
  <c r="U94"/>
  <c r="V94" s="1"/>
  <c r="U95"/>
  <c r="V95" s="1"/>
  <c r="U96"/>
  <c r="V96" s="1"/>
  <c r="U97"/>
  <c r="V97" s="1"/>
  <c r="U98"/>
  <c r="V98" s="1"/>
  <c r="U99"/>
  <c r="V99" s="1"/>
  <c r="U100"/>
  <c r="V100" s="1"/>
  <c r="U103"/>
  <c r="V103" s="1"/>
  <c r="U104"/>
  <c r="V104" s="1"/>
  <c r="U105"/>
  <c r="V105" s="1"/>
  <c r="U106"/>
  <c r="V106" s="1"/>
  <c r="U107"/>
  <c r="V107" s="1"/>
  <c r="S3"/>
  <c r="S4"/>
  <c r="S5"/>
  <c r="S6"/>
  <c r="S7"/>
  <c r="S8"/>
  <c r="S9"/>
  <c r="S10"/>
  <c r="S11"/>
  <c r="S12"/>
  <c r="S13"/>
  <c r="S14"/>
  <c r="S15"/>
  <c r="S16"/>
  <c r="S18"/>
  <c r="S19"/>
  <c r="S20"/>
  <c r="S21"/>
  <c r="S27"/>
  <c r="S28"/>
  <c r="S29"/>
  <c r="S30"/>
  <c r="S31"/>
  <c r="S32"/>
  <c r="S33"/>
  <c r="S34"/>
  <c r="S35"/>
  <c r="S36"/>
  <c r="S37"/>
  <c r="S38"/>
  <c r="S39"/>
  <c r="S40"/>
  <c r="S41"/>
  <c r="S42"/>
  <c r="S45"/>
  <c r="S46"/>
  <c r="S47"/>
  <c r="S48"/>
  <c r="S49"/>
  <c r="S50"/>
  <c r="S51"/>
  <c r="S52"/>
  <c r="S53"/>
  <c r="S54"/>
  <c r="S55"/>
  <c r="S56"/>
  <c r="S57"/>
  <c r="S58"/>
  <c r="S59"/>
  <c r="S60"/>
  <c r="S61"/>
  <c r="S62"/>
  <c r="S63"/>
  <c r="S64"/>
  <c r="S65"/>
  <c r="S66"/>
  <c r="S73"/>
  <c r="S74"/>
  <c r="S75"/>
  <c r="S76"/>
  <c r="S77"/>
  <c r="S78"/>
  <c r="S80"/>
  <c r="S81"/>
  <c r="S82"/>
  <c r="S83"/>
  <c r="S84"/>
  <c r="S88"/>
  <c r="S89"/>
  <c r="S90"/>
  <c r="S91"/>
  <c r="S92"/>
  <c r="S93"/>
  <c r="S94"/>
  <c r="S95"/>
  <c r="S96"/>
  <c r="S97"/>
  <c r="S98"/>
  <c r="S99"/>
  <c r="S100"/>
  <c r="S103"/>
  <c r="S104"/>
  <c r="S105"/>
  <c r="S106"/>
  <c r="S107"/>
  <c r="Y10"/>
  <c r="Y13"/>
  <c r="Y15"/>
  <c r="Y28"/>
  <c r="Y30"/>
  <c r="Y34"/>
  <c r="Y36"/>
  <c r="Y39"/>
  <c r="Y45"/>
  <c r="Y46"/>
  <c r="Y48"/>
  <c r="Y50"/>
  <c r="Y54"/>
  <c r="Y56"/>
  <c r="Y58"/>
  <c r="Y62"/>
  <c r="Y64"/>
  <c r="Y66"/>
  <c r="Y74"/>
  <c r="Y76"/>
  <c r="Y88"/>
  <c r="Y89"/>
  <c r="Y92"/>
  <c r="Y93"/>
  <c r="Y96"/>
  <c r="Y97"/>
  <c r="Y100"/>
  <c r="Y103"/>
  <c r="Y106"/>
  <c r="Y107"/>
  <c r="Y12" l="1"/>
  <c r="Y111" s="1"/>
  <c r="Q33"/>
  <c r="Q35"/>
  <c r="Q36"/>
  <c r="Q34"/>
  <c r="N34"/>
  <c r="N35"/>
  <c r="N36"/>
  <c r="N33"/>
  <c r="Y112" l="1"/>
  <c r="Q114"/>
  <c r="Y110"/>
  <c r="Y114"/>
  <c r="Y113"/>
  <c r="N51" l="1"/>
  <c r="T109" l="1"/>
  <c r="R17"/>
  <c r="T17" s="1"/>
  <c r="S17" l="1"/>
  <c r="U17"/>
  <c r="V17" s="1"/>
  <c r="U109"/>
  <c r="V109" s="1"/>
  <c r="S109"/>
  <c r="N32"/>
  <c r="N31"/>
  <c r="N30"/>
  <c r="N29"/>
  <c r="N28"/>
  <c r="N27"/>
  <c r="O114" l="1"/>
  <c r="N4" l="1"/>
  <c r="N5"/>
  <c r="N6"/>
  <c r="N7"/>
  <c r="N3"/>
  <c r="N38"/>
  <c r="N39"/>
  <c r="N40"/>
  <c r="N41"/>
  <c r="N62"/>
  <c r="N61"/>
  <c r="N60"/>
  <c r="N59"/>
  <c r="N58"/>
  <c r="N52"/>
  <c r="N53"/>
  <c r="N54"/>
  <c r="N55"/>
  <c r="N56"/>
  <c r="N57"/>
  <c r="N106"/>
  <c r="N103"/>
  <c r="N104"/>
  <c r="N98"/>
  <c r="N95"/>
  <c r="N94"/>
  <c r="N114" l="1"/>
  <c r="N111"/>
  <c r="N110"/>
  <c r="N113"/>
  <c r="N112"/>
  <c r="R85" l="1"/>
  <c r="T85" s="1"/>
  <c r="U85" l="1"/>
  <c r="V85" s="1"/>
  <c r="S85"/>
  <c r="S114" s="1"/>
  <c r="P112"/>
  <c r="Q112"/>
  <c r="O112"/>
  <c r="P113"/>
  <c r="Q113"/>
  <c r="P110"/>
  <c r="Q110"/>
  <c r="O113"/>
  <c r="O110"/>
  <c r="V114" l="1"/>
  <c r="U114"/>
  <c r="U112"/>
  <c r="U110"/>
  <c r="U113"/>
  <c r="U111"/>
  <c r="Q111"/>
  <c r="P111"/>
  <c r="O111"/>
  <c r="V112" l="1"/>
  <c r="V111"/>
  <c r="V113"/>
  <c r="V110"/>
  <c r="X114" l="1"/>
  <c r="X112"/>
  <c r="X111"/>
  <c r="X113"/>
  <c r="X110"/>
  <c r="S112" l="1"/>
  <c r="S110"/>
  <c r="S113"/>
  <c r="S111"/>
</calcChain>
</file>

<file path=xl/comments1.xml><?xml version="1.0" encoding="utf-8"?>
<comments xmlns="http://schemas.openxmlformats.org/spreadsheetml/2006/main">
  <authors>
    <author>Author</author>
  </authors>
  <commentList>
    <comment ref="H1" authorId="0">
      <text>
        <r>
          <rPr>
            <b/>
            <sz val="9"/>
            <color indexed="81"/>
            <rFont val="Tahoma"/>
            <family val="2"/>
          </rPr>
          <t>Data transfer rate. To/from drive sustained.</t>
        </r>
        <r>
          <rPr>
            <sz val="9"/>
            <color indexed="81"/>
            <rFont val="Tahoma"/>
            <family val="2"/>
          </rPr>
          <t xml:space="preserve">
</t>
        </r>
      </text>
    </comment>
    <comment ref="J1" authorId="0">
      <text>
        <r>
          <rPr>
            <b/>
            <sz val="9"/>
            <color indexed="81"/>
            <rFont val="Tahoma"/>
            <family val="2"/>
          </rPr>
          <t>Load/Unload cycles.  The larger the number the better.  A higher number generally means a better quality drive.</t>
        </r>
        <r>
          <rPr>
            <sz val="9"/>
            <color indexed="81"/>
            <rFont val="Tahoma"/>
            <family val="2"/>
          </rPr>
          <t xml:space="preserve">
</t>
        </r>
      </text>
    </comment>
    <comment ref="K1" authorId="0">
      <text>
        <r>
          <rPr>
            <b/>
            <sz val="9"/>
            <color indexed="81"/>
            <rFont val="Tahoma"/>
            <family val="2"/>
          </rPr>
          <t>Workload rate TB per year.  A higher number generally means a better quality drive.</t>
        </r>
        <r>
          <rPr>
            <sz val="9"/>
            <color indexed="81"/>
            <rFont val="Tahoma"/>
            <family val="2"/>
          </rPr>
          <t xml:space="preserve">
</t>
        </r>
      </text>
    </comment>
    <comment ref="L1" authorId="0">
      <text>
        <r>
          <rPr>
            <b/>
            <sz val="9"/>
            <color indexed="81"/>
            <rFont val="Tahoma"/>
            <charset val="1"/>
          </rPr>
          <t>MTBF in hours.  A higher number generally means a better quality drive.</t>
        </r>
        <r>
          <rPr>
            <sz val="9"/>
            <color indexed="81"/>
            <rFont val="Tahoma"/>
            <charset val="1"/>
          </rPr>
          <t xml:space="preserve">
</t>
        </r>
      </text>
    </comment>
    <comment ref="M1" authorId="0">
      <text>
        <r>
          <rPr>
            <b/>
            <sz val="9"/>
            <color indexed="81"/>
            <rFont val="Tahoma"/>
            <family val="2"/>
          </rPr>
          <t>Non-recoverable read errors per bits read.  A higher number generally means a better quality drive.</t>
        </r>
      </text>
    </comment>
    <comment ref="T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X1" authorId="0">
      <text>
        <r>
          <rPr>
            <b/>
            <sz val="9"/>
            <color indexed="81"/>
            <rFont val="Tahoma"/>
            <family val="2"/>
          </rPr>
          <t>The greener a cell is the cheaper it is to run.  The oranger a cell is the more expensive it is to run.</t>
        </r>
        <r>
          <rPr>
            <sz val="9"/>
            <color indexed="81"/>
            <rFont val="Tahoma"/>
            <family val="2"/>
          </rPr>
          <t xml:space="preserve">
</t>
        </r>
      </text>
    </comment>
    <comment ref="O42" authorId="0">
      <text>
        <r>
          <rPr>
            <b/>
            <sz val="9"/>
            <color indexed="81"/>
            <rFont val="Tahoma"/>
            <family val="2"/>
          </rPr>
          <t>Number can vary between 8.38 and 6.03.  Sequential access will use least  power, like ZFS.  Using worst case for this cell.</t>
        </r>
      </text>
    </comment>
    <comment ref="O43" authorId="0">
      <text>
        <r>
          <rPr>
            <b/>
            <sz val="9"/>
            <color indexed="81"/>
            <rFont val="Tahoma"/>
            <family val="2"/>
          </rPr>
          <t>Number can vary between 6.57 and 8.37.  Sequential access will use least  power, like ZFS.  Using worst case for this cell.</t>
        </r>
        <r>
          <rPr>
            <sz val="9"/>
            <color indexed="81"/>
            <rFont val="Tahoma"/>
            <family val="2"/>
          </rPr>
          <t xml:space="preserve">
</t>
        </r>
      </text>
    </comment>
    <comment ref="O44" authorId="0">
      <text>
        <r>
          <rPr>
            <b/>
            <sz val="9"/>
            <color indexed="81"/>
            <rFont val="Tahoma"/>
            <family val="2"/>
          </rPr>
          <t>Number can vary between 6.1 and 10.39.  Sequential access will use least  power, like ZFS.  Using worst case for this cell.</t>
        </r>
        <r>
          <rPr>
            <sz val="9"/>
            <color indexed="81"/>
            <rFont val="Tahoma"/>
            <family val="2"/>
          </rPr>
          <t xml:space="preserve">
</t>
        </r>
      </text>
    </comment>
    <comment ref="D119" authorId="0">
      <text>
        <r>
          <rPr>
            <b/>
            <sz val="9"/>
            <color indexed="81"/>
            <rFont val="Tahoma"/>
            <family val="2"/>
          </rPr>
          <t>Enter price per KW hour</t>
        </r>
        <r>
          <rPr>
            <sz val="9"/>
            <color indexed="81"/>
            <rFont val="Tahoma"/>
            <family val="2"/>
          </rPr>
          <t xml:space="preserve">
</t>
        </r>
      </text>
    </comment>
    <comment ref="D120"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21"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22"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<sst xmlns="http://schemas.openxmlformats.org/spreadsheetml/2006/main" count="339" uniqueCount="86">
  <si>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</si>
  <si>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</si>
  <si>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</si>
  <si>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</si>
  <si>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</si>
  <si>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</si>
  <si>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</si>
  <si>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</si>
  <si>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</si>
  <si>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</si>
  <si>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</si>
  <si>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</si>
  <si>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</si>
  <si>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</si>
  <si>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</si>
  <si>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</si>
  <si>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</si>
  <si>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</si>
  <si>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</si>
  <si>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</si>
  <si>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Enterprise NAS</t>
  </si>
  <si>
    <t>Archive</t>
  </si>
  <si>
    <t>$ TB/year</t>
  </si>
  <si>
    <t>WORK IN PROGRESS</t>
  </si>
  <si>
    <t>Energy$year</t>
  </si>
  <si>
    <t>MEDIAN</t>
  </si>
  <si>
    <t>MIN</t>
  </si>
  <si>
    <t>MAX</t>
  </si>
  <si>
    <t>Most Recent Update</t>
  </si>
  <si>
    <t>Warnty</t>
  </si>
  <si>
    <t>SizTB</t>
  </si>
  <si>
    <t>Ultrastar 7K6</t>
  </si>
  <si>
    <t>Ultrastar Archive Ha10</t>
  </si>
  <si>
    <t>Blue</t>
  </si>
  <si>
    <t>Active Duty Cycle</t>
  </si>
  <si>
    <t>Power On Hours Year</t>
  </si>
  <si>
    <t>TBD</t>
  </si>
  <si>
    <t>WattsStandby</t>
  </si>
  <si>
    <t>Enterprise NAS 2.5"</t>
  </si>
  <si>
    <t>Comp $/Perf/Size</t>
  </si>
  <si>
    <t>$+Warr</t>
  </si>
  <si>
    <t>Actual</t>
  </si>
  <si>
    <t>CompareWarrYrs</t>
  </si>
  <si>
    <t>AVG</t>
  </si>
  <si>
    <t>MaxStartupWatts</t>
  </si>
  <si>
    <t>Warranty_Normalized_Computed</t>
  </si>
  <si>
    <t>NAND Cache</t>
  </si>
  <si>
    <t>Helium filled</t>
  </si>
  <si>
    <t>COUNT</t>
  </si>
  <si>
    <t>Ultrastar C10K1800 2.5"</t>
  </si>
  <si>
    <t>See http://hdd.userbenchmark.com for disk drive comparisons</t>
  </si>
  <si>
    <t>Notes</t>
  </si>
  <si>
    <t>Toshiba</t>
  </si>
  <si>
    <t>N300</t>
  </si>
  <si>
    <t>FireCuda SSHD</t>
  </si>
  <si>
    <t>8GiB NAND</t>
  </si>
  <si>
    <t>FireCuda SSHD 2.5"</t>
  </si>
  <si>
    <t>Travelstar 2.5"</t>
  </si>
  <si>
    <t>Incremental$Warr/Yr</t>
  </si>
  <si>
    <t xml:space="preserve">Constellation ES.3 </t>
  </si>
  <si>
    <t>Energy$yearPerTB</t>
  </si>
  <si>
    <t>$PerTB</t>
  </si>
  <si>
    <t>BarraCuda 2.5"</t>
  </si>
  <si>
    <t>Energy</t>
  </si>
  <si>
    <t>Type</t>
  </si>
  <si>
    <t>NAS</t>
  </si>
  <si>
    <t>Days In Month</t>
  </si>
  <si>
    <t>Hours In Day</t>
  </si>
  <si>
    <t>Months In Year</t>
  </si>
  <si>
    <t>Hours In Month</t>
  </si>
  <si>
    <t>These are incomplete at thi time…</t>
  </si>
  <si>
    <t>P300</t>
  </si>
  <si>
    <t>Blue 2.5"</t>
  </si>
  <si>
    <t>Red NAS</t>
  </si>
  <si>
    <t>Days in Year</t>
  </si>
  <si>
    <t>Gold Enterprise</t>
  </si>
  <si>
    <t>Enterprise NAS He</t>
  </si>
  <si>
    <t>MTBF</t>
  </si>
  <si>
    <t>RErrRate</t>
  </si>
  <si>
    <t>WorkLoad</t>
  </si>
  <si>
    <t>CycleCnt</t>
  </si>
  <si>
    <t>XferRate</t>
  </si>
  <si>
    <t>Red NAS 2.5"</t>
  </si>
  <si>
    <t>Black 2.5"</t>
  </si>
  <si>
    <t>PerfCmp</t>
  </si>
  <si>
    <t>Shingled Magnetic Recording</t>
  </si>
</sst>
</file>

<file path=xl/styles.xml><?xml version="1.0" encoding="utf-8"?>
<styleSheet xmlns="http://schemas.openxmlformats.org/spreadsheetml/2006/main">
  <numFmts count="6">
    <numFmt numFmtId="8" formatCode="&quot;$&quot;#,##0.00_);[Red]\(&quot;$&quot;#,##0.00\)"/>
    <numFmt numFmtId="44" formatCode="_(&quot;$&quot;* #,##0.00_);_(&quot;$&quot;* \(#,##0.00\);_(&quot;$&quot;* &quot;-&quot;??_);_(@_)"/>
    <numFmt numFmtId="164" formatCode="&quot;$&quot;#,##0.00"/>
    <numFmt numFmtId="165" formatCode="mm/dd/yy;@"/>
    <numFmt numFmtId="166" formatCode="&quot;$&quot;#,##0.000_);[Red]\(&quot;$&quot;#,##0.000\)"/>
    <numFmt numFmtId="167" formatCode="0.000E+00"/>
  </numFmts>
  <fonts count="11">
    <font>
      <sz val="11"/>
      <color theme="1"/>
      <name val="Calibri"/>
      <family val="2"/>
      <scheme val="minor"/>
    </font>
    <font>
      <b/>
      <sz val="11"/>
      <color theme="1"/>
      <name val="Calibri"/>
      <family val="2"/>
      <scheme val="minor"/>
    </font>
    <font>
      <b/>
      <sz val="11"/>
      <color theme="0"/>
      <name val="Calibri"/>
      <family val="2"/>
      <scheme val="minor"/>
    </font>
    <font>
      <b/>
      <sz val="11"/>
      <color theme="1"/>
      <name val="Calibri"/>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
      <sz val="9"/>
      <color indexed="81"/>
      <name val="Tahoma"/>
      <charset val="1"/>
    </font>
    <font>
      <b/>
      <sz val="9"/>
      <color indexed="81"/>
      <name val="Tahoma"/>
      <charset val="1"/>
    </font>
  </fonts>
  <fills count="7">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s>
  <borders count="30">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right style="medium">
        <color auto="1"/>
      </right>
      <top/>
      <bottom/>
      <diagonal/>
    </border>
    <border>
      <left style="thick">
        <color auto="1"/>
      </left>
      <right/>
      <top style="thick">
        <color auto="1"/>
      </top>
      <bottom/>
      <diagonal/>
    </border>
    <border>
      <left style="thick">
        <color auto="1"/>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ck">
        <color auto="1"/>
      </top>
      <bottom/>
      <diagonal/>
    </border>
    <border>
      <left/>
      <right style="medium">
        <color auto="1"/>
      </right>
      <top style="thick">
        <color auto="1"/>
      </top>
      <bottom/>
      <diagonal/>
    </border>
    <border>
      <left style="medium">
        <color auto="1"/>
      </left>
      <right/>
      <top/>
      <bottom/>
      <diagonal/>
    </border>
    <border>
      <left style="medium">
        <color auto="1"/>
      </left>
      <right/>
      <top/>
      <bottom style="medium">
        <color theme="4" tint="0.79998168889431442"/>
      </bottom>
      <diagonal/>
    </border>
    <border>
      <left/>
      <right style="medium">
        <color auto="1"/>
      </right>
      <top/>
      <bottom style="medium">
        <color theme="4" tint="0.79998168889431442"/>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s>
  <cellStyleXfs count="1">
    <xf numFmtId="0" fontId="0" fillId="0" borderId="0"/>
  </cellStyleXfs>
  <cellXfs count="79">
    <xf numFmtId="0" fontId="0" fillId="0" borderId="0" xfId="0"/>
    <xf numFmtId="14" fontId="0" fillId="0" borderId="0" xfId="0" applyNumberFormat="1"/>
    <xf numFmtId="9"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164" fontId="0" fillId="0" borderId="3" xfId="0" applyNumberFormat="1" applyFill="1" applyBorder="1"/>
    <xf numFmtId="164" fontId="0" fillId="0" borderId="5" xfId="0" applyNumberFormat="1" applyFill="1" applyBorder="1"/>
    <xf numFmtId="164" fontId="0" fillId="0" borderId="4" xfId="0" applyNumberFormat="1" applyBorder="1"/>
    <xf numFmtId="164" fontId="0" fillId="0" borderId="5" xfId="0" applyNumberFormat="1" applyBorder="1"/>
    <xf numFmtId="2" fontId="0" fillId="0" borderId="0" xfId="0" applyNumberFormat="1" applyBorder="1" applyAlignment="1">
      <alignment horizontal="center"/>
    </xf>
    <xf numFmtId="2" fontId="0" fillId="0" borderId="0" xfId="0" applyNumberFormat="1" applyBorder="1" applyAlignment="1"/>
    <xf numFmtId="0" fontId="1" fillId="2" borderId="6" xfId="0" applyFont="1" applyFill="1" applyBorder="1" applyAlignment="1">
      <alignment horizontal="center"/>
    </xf>
    <xf numFmtId="0" fontId="1" fillId="2" borderId="7" xfId="0" applyFont="1" applyFill="1" applyBorder="1" applyAlignment="1">
      <alignment horizontal="center"/>
    </xf>
    <xf numFmtId="2" fontId="0" fillId="0" borderId="0" xfId="0" applyNumberFormat="1"/>
    <xf numFmtId="0" fontId="0" fillId="0" borderId="0" xfId="0" applyNumberFormat="1" applyBorder="1"/>
    <xf numFmtId="0" fontId="3" fillId="2" borderId="2" xfId="0" applyFont="1" applyFill="1" applyBorder="1" applyAlignment="1">
      <alignment horizontal="center"/>
    </xf>
    <xf numFmtId="0" fontId="1" fillId="4" borderId="8" xfId="0" applyFont="1" applyFill="1" applyBorder="1"/>
    <xf numFmtId="2" fontId="1" fillId="4" borderId="9" xfId="0" applyNumberFormat="1" applyFont="1" applyFill="1" applyBorder="1"/>
    <xf numFmtId="44" fontId="1" fillId="4" borderId="9" xfId="0" applyNumberFormat="1" applyFont="1" applyFill="1" applyBorder="1"/>
    <xf numFmtId="0" fontId="1" fillId="4" borderId="9" xfId="0" applyFont="1" applyFill="1" applyBorder="1"/>
    <xf numFmtId="44" fontId="1" fillId="4" borderId="10" xfId="0" applyNumberFormat="1" applyFont="1" applyFill="1" applyBorder="1"/>
    <xf numFmtId="0" fontId="1" fillId="4" borderId="11" xfId="0" applyFont="1" applyFill="1" applyBorder="1"/>
    <xf numFmtId="2" fontId="1" fillId="4" borderId="12" xfId="0" applyNumberFormat="1" applyFont="1" applyFill="1" applyBorder="1"/>
    <xf numFmtId="0" fontId="1" fillId="4" borderId="12" xfId="0" applyFont="1" applyFill="1" applyBorder="1"/>
    <xf numFmtId="44" fontId="1" fillId="4" borderId="12" xfId="0" applyNumberFormat="1" applyFont="1" applyFill="1" applyBorder="1"/>
    <xf numFmtId="44" fontId="1" fillId="4" borderId="13" xfId="0" applyNumberFormat="1" applyFont="1" applyFill="1" applyBorder="1"/>
    <xf numFmtId="0" fontId="0" fillId="4" borderId="12" xfId="0" applyFill="1" applyBorder="1"/>
    <xf numFmtId="0" fontId="1" fillId="4" borderId="14" xfId="0" applyFont="1" applyFill="1" applyBorder="1"/>
    <xf numFmtId="0" fontId="1" fillId="4" borderId="15" xfId="0" applyFont="1" applyFill="1" applyBorder="1"/>
    <xf numFmtId="0" fontId="0" fillId="4" borderId="15" xfId="0" applyFill="1" applyBorder="1"/>
    <xf numFmtId="0" fontId="1" fillId="4" borderId="16" xfId="0" applyFont="1" applyFill="1" applyBorder="1"/>
    <xf numFmtId="0" fontId="1" fillId="2" borderId="17" xfId="0" applyFont="1" applyFill="1" applyBorder="1" applyAlignment="1">
      <alignment horizontal="center"/>
    </xf>
    <xf numFmtId="0" fontId="0" fillId="5" borderId="18" xfId="0" applyFill="1" applyBorder="1"/>
    <xf numFmtId="9" fontId="0" fillId="6" borderId="18" xfId="0" applyNumberFormat="1" applyFill="1" applyBorder="1"/>
    <xf numFmtId="0" fontId="0" fillId="6" borderId="18"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8" xfId="0" applyFont="1" applyFill="1" applyBorder="1"/>
    <xf numFmtId="8" fontId="0" fillId="0" borderId="21" xfId="0" applyNumberFormat="1" applyBorder="1"/>
    <xf numFmtId="8" fontId="0" fillId="0" borderId="22" xfId="0" applyNumberFormat="1" applyBorder="1"/>
    <xf numFmtId="8" fontId="0" fillId="0" borderId="23" xfId="0" applyNumberFormat="1" applyBorder="1"/>
    <xf numFmtId="8" fontId="0" fillId="0" borderId="3" xfId="0" applyNumberFormat="1" applyBorder="1"/>
    <xf numFmtId="0" fontId="0" fillId="0" borderId="23" xfId="0" applyBorder="1"/>
    <xf numFmtId="8" fontId="0" fillId="0" borderId="3" xfId="0" applyNumberFormat="1" applyFill="1" applyBorder="1"/>
    <xf numFmtId="8" fontId="0" fillId="0" borderId="24" xfId="0" applyNumberFormat="1" applyBorder="1"/>
    <xf numFmtId="8" fontId="0" fillId="0" borderId="25" xfId="0" applyNumberFormat="1" applyBorder="1"/>
    <xf numFmtId="166" fontId="0" fillId="6" borderId="18" xfId="0" applyNumberFormat="1" applyFill="1" applyBorder="1" applyAlignment="1"/>
    <xf numFmtId="0" fontId="1" fillId="2" borderId="26" xfId="0" applyFont="1" applyFill="1" applyBorder="1" applyAlignment="1">
      <alignment horizontal="center"/>
    </xf>
    <xf numFmtId="0" fontId="1" fillId="2" borderId="27" xfId="0" applyFont="1" applyFill="1" applyBorder="1" applyAlignment="1">
      <alignment horizontal="center"/>
    </xf>
    <xf numFmtId="0" fontId="1" fillId="2" borderId="28" xfId="0" applyFont="1" applyFill="1" applyBorder="1" applyAlignment="1">
      <alignment horizontal="center"/>
    </xf>
    <xf numFmtId="0" fontId="1" fillId="2" borderId="29" xfId="0" applyFont="1" applyFill="1" applyBorder="1" applyAlignment="1">
      <alignment horizontal="center"/>
    </xf>
    <xf numFmtId="0" fontId="1" fillId="2" borderId="18" xfId="0" applyFont="1" applyFill="1" applyBorder="1" applyAlignment="1">
      <alignment horizontal="center"/>
    </xf>
    <xf numFmtId="0" fontId="0" fillId="2" borderId="18" xfId="0" applyFill="1" applyBorder="1"/>
    <xf numFmtId="0" fontId="1" fillId="2" borderId="18" xfId="0" applyFont="1" applyFill="1" applyBorder="1" applyAlignment="1">
      <alignment horizontal="center"/>
    </xf>
    <xf numFmtId="1" fontId="0" fillId="0" borderId="0" xfId="0" applyNumberFormat="1"/>
    <xf numFmtId="167" fontId="0" fillId="0" borderId="0" xfId="0" applyNumberFormat="1"/>
    <xf numFmtId="167" fontId="1" fillId="4" borderId="9" xfId="0" applyNumberFormat="1" applyFont="1" applyFill="1" applyBorder="1"/>
    <xf numFmtId="167" fontId="1" fillId="4" borderId="12" xfId="0" applyNumberFormat="1" applyFont="1" applyFill="1" applyBorder="1"/>
    <xf numFmtId="3" fontId="0" fillId="0" borderId="0" xfId="0" applyNumberFormat="1"/>
    <xf numFmtId="3" fontId="1" fillId="4" borderId="9" xfId="0" applyNumberFormat="1" applyFont="1" applyFill="1" applyBorder="1"/>
    <xf numFmtId="3" fontId="1" fillId="4" borderId="12" xfId="0" applyNumberFormat="1" applyFont="1" applyFill="1" applyBorder="1"/>
    <xf numFmtId="165" fontId="1" fillId="6" borderId="19" xfId="0" applyNumberFormat="1" applyFont="1" applyFill="1" applyBorder="1" applyAlignment="1">
      <alignment horizontal="center"/>
    </xf>
    <xf numFmtId="165" fontId="1" fillId="6" borderId="20" xfId="0" applyNumberFormat="1" applyFont="1" applyFill="1" applyBorder="1" applyAlignment="1">
      <alignment horizontal="center"/>
    </xf>
    <xf numFmtId="0" fontId="1" fillId="2" borderId="18" xfId="0" applyFont="1" applyFill="1" applyBorder="1" applyAlignment="1">
      <alignment horizontal="center"/>
    </xf>
    <xf numFmtId="0" fontId="0" fillId="0" borderId="18" xfId="0" applyBorder="1" applyAlignment="1">
      <alignment horizontal="center"/>
    </xf>
    <xf numFmtId="0" fontId="1" fillId="2" borderId="18" xfId="0" applyFont="1" applyFill="1" applyBorder="1" applyAlignment="1">
      <alignment horizontal="center" vertical="center"/>
    </xf>
    <xf numFmtId="0" fontId="0" fillId="0" borderId="18" xfId="0" applyBorder="1" applyAlignment="1">
      <alignment horizontal="center" vertical="center"/>
    </xf>
    <xf numFmtId="0" fontId="2" fillId="3" borderId="19" xfId="0" applyFont="1" applyFill="1" applyBorder="1" applyAlignment="1">
      <alignment horizontal="center"/>
    </xf>
    <xf numFmtId="0" fontId="0" fillId="0" borderId="20" xfId="0" applyBorder="1" applyAlignment="1">
      <alignment horizontal="center"/>
    </xf>
    <xf numFmtId="0" fontId="8" fillId="3" borderId="19" xfId="0" applyFont="1" applyFill="1" applyBorder="1" applyAlignment="1"/>
    <xf numFmtId="0" fontId="7" fillId="3" borderId="20" xfId="0" applyFont="1" applyFill="1" applyBorder="1" applyAlignment="1"/>
  </cellXfs>
  <cellStyles count="1">
    <cellStyle name="Normal" xfId="0" builtinId="0"/>
  </cellStyles>
  <dxfs count="26">
    <dxf>
      <numFmt numFmtId="12" formatCode="&quot;$&quot;#,##0.00_);[Red]\(&quot;$&quot;#,##0.00\)"/>
      <border diagonalUp="0" diagonalDown="0">
        <left/>
        <right style="medium">
          <color auto="1"/>
        </right>
        <top/>
        <bottom/>
      </border>
    </dxf>
    <dxf>
      <numFmt numFmtId="12" formatCode="&quot;$&quot;#,##0.00_);[Red]\(&quot;$&quot;#,##0.00\)"/>
      <border diagonalUp="0" diagonalDown="0">
        <left style="medium">
          <color auto="1"/>
        </left>
        <right/>
        <top/>
        <bottom/>
      </border>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2" formatCode="0.00"/>
    </dxf>
    <dxf>
      <numFmt numFmtId="2" formatCode="0.00"/>
    </dxf>
    <dxf>
      <numFmt numFmtId="2" formatCode="0.00"/>
    </dxf>
    <dxf>
      <numFmt numFmtId="2" formatCode="0.00"/>
    </dxf>
    <dxf>
      <numFmt numFmtId="167" formatCode="0.000E+00"/>
    </dxf>
    <dxf>
      <numFmt numFmtId="3" formatCode="#,##0"/>
    </dxf>
    <dxf>
      <numFmt numFmtId="3" formatCode="#,##0"/>
    </dxf>
    <dxf>
      <numFmt numFmtId="1" formatCode="0"/>
    </dxf>
    <dxf>
      <numFmt numFmtId="13" formatCode="0%"/>
    </dxf>
    <dxf>
      <fill>
        <patternFill patternType="none">
          <fgColor indexed="64"/>
          <bgColor indexed="65"/>
        </patternFill>
      </fill>
    </dxf>
    <dxf>
      <alignment horizontal="center" vertical="bottom" textRotation="0" wrapText="0" indent="0" relativeIndent="255" justifyLastLine="0" shrinkToFit="0"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41"/>
          <c:y val="0.19023148148148214"/>
          <c:w val="0.694067366579179"/>
          <c:h val="0.62271617089530451"/>
        </c:manualLayout>
      </c:layout>
      <c:scatterChart>
        <c:scatterStyle val="lineMarker"/>
        <c:ser>
          <c:idx val="1"/>
          <c:order val="0"/>
          <c:tx>
            <c:strRef>
              <c:f>'Drive Table'!$C$3:$C$109</c:f>
              <c:strCache>
                <c:ptCount val="1"/>
                <c:pt idx="0">
                  <c:v>Deskstar NAS Deskstar NAS Deskstar NAS Deskstar NAS Deskstar NAS Travelstar 2.5" Ultrastar 7K6 Ultrastar 7K6 Ultrastar 7K6 Ultrastar 7K6 Ultrastar Archive Ha10 Ultrastar C10K1800 2.5" Archive Archive Archive BarraCuda BarraCuda BarraCuda BarraCuda BarraCu</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Table'!$F$3:$F$109</c:f>
              <c:numCache>
                <c:formatCode>General</c:formatCode>
                <c:ptCount val="107"/>
                <c:pt idx="0">
                  <c:v>3</c:v>
                </c:pt>
                <c:pt idx="1">
                  <c:v>4</c:v>
                </c:pt>
                <c:pt idx="2">
                  <c:v>5</c:v>
                </c:pt>
                <c:pt idx="3">
                  <c:v>6</c:v>
                </c:pt>
                <c:pt idx="4">
                  <c:v>8</c:v>
                </c:pt>
                <c:pt idx="5">
                  <c:v>1</c:v>
                </c:pt>
                <c:pt idx="6">
                  <c:v>2</c:v>
                </c:pt>
                <c:pt idx="7">
                  <c:v>4</c:v>
                </c:pt>
                <c:pt idx="8">
                  <c:v>5</c:v>
                </c:pt>
                <c:pt idx="9">
                  <c:v>6</c:v>
                </c:pt>
                <c:pt idx="10">
                  <c:v>8</c:v>
                </c:pt>
                <c:pt idx="11">
                  <c:v>1.8</c:v>
                </c:pt>
                <c:pt idx="12">
                  <c:v>5</c:v>
                </c:pt>
                <c:pt idx="13">
                  <c:v>6</c:v>
                </c:pt>
                <c:pt idx="14">
                  <c:v>8</c:v>
                </c:pt>
                <c:pt idx="15">
                  <c:v>1</c:v>
                </c:pt>
                <c:pt idx="16">
                  <c:v>2</c:v>
                </c:pt>
                <c:pt idx="17">
                  <c:v>3</c:v>
                </c:pt>
                <c:pt idx="18">
                  <c:v>4</c:v>
                </c:pt>
                <c:pt idx="19">
                  <c:v>1</c:v>
                </c:pt>
                <c:pt idx="20">
                  <c:v>2</c:v>
                </c:pt>
                <c:pt idx="21">
                  <c:v>3</c:v>
                </c:pt>
                <c:pt idx="22">
                  <c:v>4</c:v>
                </c:pt>
                <c:pt idx="23">
                  <c:v>5</c:v>
                </c:pt>
                <c:pt idx="24">
                  <c:v>2</c:v>
                </c:pt>
                <c:pt idx="25">
                  <c:v>4</c:v>
                </c:pt>
                <c:pt idx="26">
                  <c:v>5</c:v>
                </c:pt>
                <c:pt idx="27">
                  <c:v>6</c:v>
                </c:pt>
                <c:pt idx="28">
                  <c:v>8</c:v>
                </c:pt>
                <c:pt idx="29">
                  <c:v>10</c:v>
                </c:pt>
                <c:pt idx="30">
                  <c:v>1</c:v>
                </c:pt>
                <c:pt idx="31">
                  <c:v>2</c:v>
                </c:pt>
                <c:pt idx="32">
                  <c:v>3</c:v>
                </c:pt>
                <c:pt idx="33">
                  <c:v>4</c:v>
                </c:pt>
                <c:pt idx="34">
                  <c:v>1</c:v>
                </c:pt>
                <c:pt idx="35">
                  <c:v>2</c:v>
                </c:pt>
                <c:pt idx="36">
                  <c:v>3</c:v>
                </c:pt>
                <c:pt idx="37">
                  <c:v>4</c:v>
                </c:pt>
                <c:pt idx="38">
                  <c:v>6</c:v>
                </c:pt>
                <c:pt idx="39">
                  <c:v>8</c:v>
                </c:pt>
                <c:pt idx="40">
                  <c:v>10</c:v>
                </c:pt>
                <c:pt idx="41">
                  <c:v>12</c:v>
                </c:pt>
                <c:pt idx="42">
                  <c:v>1</c:v>
                </c:pt>
                <c:pt idx="43">
                  <c:v>2</c:v>
                </c:pt>
                <c:pt idx="44">
                  <c:v>1</c:v>
                </c:pt>
                <c:pt idx="45">
                  <c:v>2</c:v>
                </c:pt>
                <c:pt idx="46">
                  <c:v>1</c:v>
                </c:pt>
                <c:pt idx="47">
                  <c:v>2</c:v>
                </c:pt>
                <c:pt idx="48">
                  <c:v>1</c:v>
                </c:pt>
                <c:pt idx="49">
                  <c:v>2</c:v>
                </c:pt>
                <c:pt idx="50">
                  <c:v>3</c:v>
                </c:pt>
                <c:pt idx="51">
                  <c:v>4</c:v>
                </c:pt>
                <c:pt idx="52">
                  <c:v>6</c:v>
                </c:pt>
                <c:pt idx="53">
                  <c:v>8</c:v>
                </c:pt>
                <c:pt idx="54">
                  <c:v>10</c:v>
                </c:pt>
                <c:pt idx="55">
                  <c:v>2</c:v>
                </c:pt>
                <c:pt idx="56">
                  <c:v>4</c:v>
                </c:pt>
                <c:pt idx="57">
                  <c:v>6</c:v>
                </c:pt>
                <c:pt idx="58">
                  <c:v>8</c:v>
                </c:pt>
                <c:pt idx="59">
                  <c:v>10</c:v>
                </c:pt>
                <c:pt idx="60">
                  <c:v>4</c:v>
                </c:pt>
                <c:pt idx="61">
                  <c:v>4</c:v>
                </c:pt>
                <c:pt idx="62">
                  <c:v>6</c:v>
                </c:pt>
                <c:pt idx="63">
                  <c:v>8</c:v>
                </c:pt>
                <c:pt idx="64">
                  <c:v>1</c:v>
                </c:pt>
                <c:pt idx="65">
                  <c:v>2</c:v>
                </c:pt>
                <c:pt idx="66">
                  <c:v>3</c:v>
                </c:pt>
                <c:pt idx="67">
                  <c:v>4</c:v>
                </c:pt>
                <c:pt idx="68">
                  <c:v>5</c:v>
                </c:pt>
                <c:pt idx="69">
                  <c:v>6</c:v>
                </c:pt>
                <c:pt idx="70">
                  <c:v>1</c:v>
                </c:pt>
                <c:pt idx="71">
                  <c:v>2</c:v>
                </c:pt>
                <c:pt idx="72">
                  <c:v>4</c:v>
                </c:pt>
                <c:pt idx="73">
                  <c:v>5</c:v>
                </c:pt>
                <c:pt idx="74">
                  <c:v>6</c:v>
                </c:pt>
                <c:pt idx="75">
                  <c:v>8</c:v>
                </c:pt>
                <c:pt idx="76">
                  <c:v>1</c:v>
                </c:pt>
                <c:pt idx="77">
                  <c:v>1</c:v>
                </c:pt>
                <c:pt idx="78">
                  <c:v>2</c:v>
                </c:pt>
                <c:pt idx="79">
                  <c:v>3</c:v>
                </c:pt>
                <c:pt idx="80">
                  <c:v>4</c:v>
                </c:pt>
                <c:pt idx="81">
                  <c:v>5</c:v>
                </c:pt>
                <c:pt idx="82">
                  <c:v>6</c:v>
                </c:pt>
                <c:pt idx="83">
                  <c:v>1</c:v>
                </c:pt>
                <c:pt idx="84">
                  <c:v>2</c:v>
                </c:pt>
                <c:pt idx="85">
                  <c:v>1</c:v>
                </c:pt>
                <c:pt idx="86">
                  <c:v>2</c:v>
                </c:pt>
                <c:pt idx="87">
                  <c:v>4</c:v>
                </c:pt>
                <c:pt idx="88">
                  <c:v>6</c:v>
                </c:pt>
                <c:pt idx="89">
                  <c:v>8</c:v>
                </c:pt>
                <c:pt idx="90">
                  <c:v>10</c:v>
                </c:pt>
                <c:pt idx="91">
                  <c:v>1</c:v>
                </c:pt>
                <c:pt idx="92">
                  <c:v>2</c:v>
                </c:pt>
                <c:pt idx="93">
                  <c:v>3</c:v>
                </c:pt>
                <c:pt idx="94">
                  <c:v>4</c:v>
                </c:pt>
                <c:pt idx="95">
                  <c:v>5</c:v>
                </c:pt>
                <c:pt idx="96">
                  <c:v>6</c:v>
                </c:pt>
                <c:pt idx="97">
                  <c:v>8</c:v>
                </c:pt>
                <c:pt idx="98">
                  <c:v>10</c:v>
                </c:pt>
                <c:pt idx="99">
                  <c:v>1</c:v>
                </c:pt>
                <c:pt idx="100">
                  <c:v>2</c:v>
                </c:pt>
                <c:pt idx="101">
                  <c:v>3</c:v>
                </c:pt>
                <c:pt idx="102">
                  <c:v>4</c:v>
                </c:pt>
                <c:pt idx="103">
                  <c:v>5</c:v>
                </c:pt>
                <c:pt idx="104">
                  <c:v>6</c:v>
                </c:pt>
                <c:pt idx="105">
                  <c:v>8</c:v>
                </c:pt>
                <c:pt idx="106">
                  <c:v>10</c:v>
                </c:pt>
              </c:numCache>
            </c:numRef>
          </c:xVal>
          <c:yVal>
            <c:numRef>
              <c:f>'Drive Table'!$S$3:$S$109</c:f>
              <c:numCache>
                <c:formatCode>"$"#,##0.00</c:formatCode>
                <c:ptCount val="107"/>
                <c:pt idx="0">
                  <c:v>34.996666666666663</c:v>
                </c:pt>
                <c:pt idx="1">
                  <c:v>28.747499999999999</c:v>
                </c:pt>
                <c:pt idx="2">
                  <c:v>49.922000000000004</c:v>
                </c:pt>
                <c:pt idx="3">
                  <c:v>29.998333333333335</c:v>
                </c:pt>
                <c:pt idx="4">
                  <c:v>34.998750000000001</c:v>
                </c:pt>
                <c:pt idx="5">
                  <c:v>53.99</c:v>
                </c:pt>
                <c:pt idx="6">
                  <c:v>74.67</c:v>
                </c:pt>
                <c:pt idx="7">
                  <c:v>63.997500000000002</c:v>
                </c:pt>
                <c:pt idx="8">
                  <c:v>76.284000000000006</c:v>
                </c:pt>
                <c:pt idx="9">
                  <c:v>50.254999999999995</c:v>
                </c:pt>
                <c:pt idx="10">
                  <c:v>46.625</c:v>
                </c:pt>
                <c:pt idx="11">
                  <c:v>324.93888888888887</c:v>
                </c:pt>
                <c:pt idx="12">
                  <c:v>38.402000000000001</c:v>
                </c:pt>
                <c:pt idx="13">
                  <c:v>33.911666666666669</c:v>
                </c:pt>
                <c:pt idx="14">
                  <c:v>25.861499999999999</c:v>
                </c:pt>
                <c:pt idx="15">
                  <c:v>49.99</c:v>
                </c:pt>
                <c:pt idx="16">
                  <c:v>33.494999999999997</c:v>
                </c:pt>
                <c:pt idx="17">
                  <c:v>29.996666666666666</c:v>
                </c:pt>
                <c:pt idx="18">
                  <c:v>28.5</c:v>
                </c:pt>
                <c:pt idx="19">
                  <c:v>48.99</c:v>
                </c:pt>
                <c:pt idx="20">
                  <c:v>44.494999999999997</c:v>
                </c:pt>
                <c:pt idx="21">
                  <c:v>46.663333333333334</c:v>
                </c:pt>
                <c:pt idx="22">
                  <c:v>44.997500000000002</c:v>
                </c:pt>
                <c:pt idx="23">
                  <c:v>43.998000000000005</c:v>
                </c:pt>
                <c:pt idx="24">
                  <c:v>39.994999999999997</c:v>
                </c:pt>
                <c:pt idx="25">
                  <c:v>46.247500000000002</c:v>
                </c:pt>
                <c:pt idx="26">
                  <c:v>42.998000000000005</c:v>
                </c:pt>
                <c:pt idx="27">
                  <c:v>43.164999999999999</c:v>
                </c:pt>
                <c:pt idx="28">
                  <c:v>41.873750000000001</c:v>
                </c:pt>
                <c:pt idx="29">
                  <c:v>43.499000000000002</c:v>
                </c:pt>
                <c:pt idx="30">
                  <c:v>95</c:v>
                </c:pt>
                <c:pt idx="31">
                  <c:v>62</c:v>
                </c:pt>
                <c:pt idx="32">
                  <c:v>49.99666666666667</c:v>
                </c:pt>
                <c:pt idx="33">
                  <c:v>39.997500000000002</c:v>
                </c:pt>
                <c:pt idx="34">
                  <c:v>99.99</c:v>
                </c:pt>
                <c:pt idx="35">
                  <c:v>69.995000000000005</c:v>
                </c:pt>
                <c:pt idx="36">
                  <c:v>58.973333333333329</c:v>
                </c:pt>
                <c:pt idx="37">
                  <c:v>54.997500000000002</c:v>
                </c:pt>
                <c:pt idx="38">
                  <c:v>47.998333333333335</c:v>
                </c:pt>
                <c:pt idx="39">
                  <c:v>43.873750000000001</c:v>
                </c:pt>
                <c:pt idx="40">
                  <c:v>39.349000000000004</c:v>
                </c:pt>
                <c:pt idx="41">
                  <c:v>0</c:v>
                </c:pt>
                <c:pt idx="42">
                  <c:v>182.13</c:v>
                </c:pt>
                <c:pt idx="43">
                  <c:v>159.995</c:v>
                </c:pt>
                <c:pt idx="44">
                  <c:v>69.989999999999995</c:v>
                </c:pt>
                <c:pt idx="45">
                  <c:v>44.994999999999997</c:v>
                </c:pt>
                <c:pt idx="46">
                  <c:v>54.99</c:v>
                </c:pt>
                <c:pt idx="47">
                  <c:v>39.994999999999997</c:v>
                </c:pt>
                <c:pt idx="48">
                  <c:v>64.489999999999995</c:v>
                </c:pt>
                <c:pt idx="49">
                  <c:v>37.494999999999997</c:v>
                </c:pt>
                <c:pt idx="50">
                  <c:v>36.333333333333336</c:v>
                </c:pt>
                <c:pt idx="51">
                  <c:v>28.747499999999999</c:v>
                </c:pt>
                <c:pt idx="52">
                  <c:v>31.665000000000003</c:v>
                </c:pt>
                <c:pt idx="53">
                  <c:v>29.998750000000001</c:v>
                </c:pt>
                <c:pt idx="54">
                  <c:v>33.85</c:v>
                </c:pt>
                <c:pt idx="55">
                  <c:v>72.495000000000005</c:v>
                </c:pt>
                <c:pt idx="56">
                  <c:v>52.497500000000002</c:v>
                </c:pt>
                <c:pt idx="57">
                  <c:v>41.664999999999999</c:v>
                </c:pt>
                <c:pt idx="58">
                  <c:v>37.498750000000001</c:v>
                </c:pt>
                <c:pt idx="59">
                  <c:v>39.999000000000002</c:v>
                </c:pt>
                <c:pt idx="60">
                  <c:v>47.497500000000002</c:v>
                </c:pt>
                <c:pt idx="61">
                  <c:v>34.997500000000002</c:v>
                </c:pt>
                <c:pt idx="62">
                  <c:v>35.831666666666671</c:v>
                </c:pt>
                <c:pt idx="63">
                  <c:v>31.248750000000001</c:v>
                </c:pt>
                <c:pt idx="64">
                  <c:v>50.14</c:v>
                </c:pt>
                <c:pt idx="65">
                  <c:v>32.494999999999997</c:v>
                </c:pt>
                <c:pt idx="66">
                  <c:v>26.33</c:v>
                </c:pt>
                <c:pt idx="67">
                  <c:v>28.747499999999999</c:v>
                </c:pt>
                <c:pt idx="68">
                  <c:v>31.998000000000001</c:v>
                </c:pt>
                <c:pt idx="69">
                  <c:v>23.331666666666667</c:v>
                </c:pt>
                <c:pt idx="70">
                  <c:v>69.989999999999995</c:v>
                </c:pt>
                <c:pt idx="71">
                  <c:v>57.494999999999997</c:v>
                </c:pt>
                <c:pt idx="72">
                  <c:v>44.997500000000002</c:v>
                </c:pt>
                <c:pt idx="73">
                  <c:v>43.998000000000005</c:v>
                </c:pt>
                <c:pt idx="74">
                  <c:v>41.664999999999999</c:v>
                </c:pt>
                <c:pt idx="75">
                  <c:v>41.248750000000001</c:v>
                </c:pt>
                <c:pt idx="76">
                  <c:v>69.989999999999995</c:v>
                </c:pt>
                <c:pt idx="77">
                  <c:v>49.99</c:v>
                </c:pt>
                <c:pt idx="78">
                  <c:v>32.494999999999997</c:v>
                </c:pt>
                <c:pt idx="79">
                  <c:v>26.66333333333333</c:v>
                </c:pt>
                <c:pt idx="80">
                  <c:v>28.247499999999999</c:v>
                </c:pt>
                <c:pt idx="81">
                  <c:v>47.177999999999997</c:v>
                </c:pt>
                <c:pt idx="82">
                  <c:v>32</c:v>
                </c:pt>
                <c:pt idx="83">
                  <c:v>55.99</c:v>
                </c:pt>
                <c:pt idx="84">
                  <c:v>70.995000000000005</c:v>
                </c:pt>
                <c:pt idx="85">
                  <c:v>86.99</c:v>
                </c:pt>
                <c:pt idx="86">
                  <c:v>67.495000000000005</c:v>
                </c:pt>
                <c:pt idx="87">
                  <c:v>46.997500000000002</c:v>
                </c:pt>
                <c:pt idx="88">
                  <c:v>44.998333333333335</c:v>
                </c:pt>
                <c:pt idx="89">
                  <c:v>47.498750000000001</c:v>
                </c:pt>
                <c:pt idx="90">
                  <c:v>41.499000000000002</c:v>
                </c:pt>
                <c:pt idx="91">
                  <c:v>62.99</c:v>
                </c:pt>
                <c:pt idx="92">
                  <c:v>42.494999999999997</c:v>
                </c:pt>
                <c:pt idx="93">
                  <c:v>36.663333333333334</c:v>
                </c:pt>
                <c:pt idx="94">
                  <c:v>34.262500000000003</c:v>
                </c:pt>
                <c:pt idx="95">
                  <c:v>56.372</c:v>
                </c:pt>
                <c:pt idx="96">
                  <c:v>35.831666666666671</c:v>
                </c:pt>
                <c:pt idx="97">
                  <c:v>32.498750000000001</c:v>
                </c:pt>
                <c:pt idx="98">
                  <c:v>37.899000000000001</c:v>
                </c:pt>
                <c:pt idx="99">
                  <c:v>72.989999999999995</c:v>
                </c:pt>
                <c:pt idx="100">
                  <c:v>69.995000000000005</c:v>
                </c:pt>
                <c:pt idx="101">
                  <c:v>67.33</c:v>
                </c:pt>
                <c:pt idx="102">
                  <c:v>49.997500000000002</c:v>
                </c:pt>
                <c:pt idx="103">
                  <c:v>51.998000000000005</c:v>
                </c:pt>
                <c:pt idx="104">
                  <c:v>41.664999999999999</c:v>
                </c:pt>
                <c:pt idx="105">
                  <c:v>31.248750000000001</c:v>
                </c:pt>
                <c:pt idx="106">
                  <c:v>44.999000000000002</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232820736"/>
        <c:axId val="233101952"/>
      </c:scatterChart>
      <c:valAx>
        <c:axId val="232820736"/>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General"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33101952"/>
        <c:crosses val="autoZero"/>
        <c:crossBetween val="midCat"/>
      </c:valAx>
      <c:valAx>
        <c:axId val="233101952"/>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32820736"/>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133" l="0.70000000000000062" r="0.70000000000000062" t="0.75000000000000133"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19</xdr:col>
      <xdr:colOff>628650</xdr:colOff>
      <xdr:row>2</xdr:row>
      <xdr:rowOff>161925</xdr:rowOff>
    </xdr:from>
    <xdr:ext cx="184731" cy="264560"/>
    <xdr:sp macro="" textlink="">
      <xdr:nvSpPr>
        <xdr:cNvPr id="2" name="TextBox 1">
          <a:extLst>
            <a:ext uri="{FF2B5EF4-FFF2-40B4-BE49-F238E27FC236}">
              <a16:creationId xmlns:a16="http://schemas.microsoft.com/office/drawing/2014/main" xmlns="" id="{23949A19-A484-4B6F-BD0E-F7E4984497A5}"/>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 name="Table5" displayName="Table5" ref="A2:Z109" totalsRowShown="0" headerRowDxfId="22" headerRowBorderDxfId="21" tableBorderDxfId="20">
  <autoFilter ref="A2:Z109">
    <filterColumn colId="7"/>
    <filterColumn colId="9"/>
    <filterColumn colId="10"/>
    <filterColumn colId="11"/>
    <filterColumn colId="12"/>
  </autoFilter>
  <sortState ref="A3:R91">
    <sortCondition ref="B3:B91"/>
    <sortCondition ref="C3:C91"/>
    <sortCondition ref="F3:F91"/>
    <sortCondition ref="E3:E91"/>
  </sortState>
  <tableColumns count="26">
    <tableColumn id="1" name="Date" dataDxfId="19"/>
    <tableColumn id="2" name="Manu"/>
    <tableColumn id="3" name="Model"/>
    <tableColumn id="21" name="Type" dataDxfId="18"/>
    <tableColumn id="4" name="RPM"/>
    <tableColumn id="5" name="SizTB" dataDxfId="17"/>
    <tableColumn id="6" name="PerfCmp" dataDxfId="16">
      <calculatedColumnFormula>(Table5[[#This Row],[RPM]]/5400-1)</calculatedColumnFormula>
    </tableColumn>
    <tableColumn id="26" name="XferRate" dataDxfId="15"/>
    <tableColumn id="7" name="Warnty"/>
    <tableColumn id="22" name="CycleCnt" dataDxfId="14"/>
    <tableColumn id="23" name="WorkLoad"/>
    <tableColumn id="24" name="MTBF" dataDxfId="13"/>
    <tableColumn id="25" name="RErrRate" dataDxfId="12"/>
    <tableColumn id="18" name="MaxStartupWatts" dataDxfId="11"/>
    <tableColumn id="8" name="Watts Active" dataDxfId="10"/>
    <tableColumn id="9" name="Watts Idle" dataDxfId="9"/>
    <tableColumn id="10" name="WattsStandby" dataDxfId="8"/>
    <tableColumn id="11" name="Cost" dataDxfId="7"/>
    <tableColumn id="12" name="$ TB" dataDxfId="6">
      <calculatedColumnFormula>Table5[[#This Row],[Cost]]/Table5[[#This Row],[SizTB]]</calculatedColumnFormula>
    </tableColumn>
    <tableColumn id="13" name="$+Warr" dataDxfId="5">
      <calculatedColumnFormula>Table5[[#This Row],[Cost]]+((CompareWarrYrs-Table5[[#This Row],[Warnty]])*(Incremental_Warr_Yr*Table5[[#This Row],[Cost]]))</calculatedColumnFormula>
    </tableColumn>
    <tableColumn id="14" name="$PerTB" dataDxfId="4">
      <calculatedColumnFormula>Table5[[#This Row],[$+Warr]]/Table5[[#This Row],[SizTB]]</calculatedColumnFormula>
    </tableColumn>
    <tableColumn id="15" name="$ TB/year" dataDxfId="3">
      <calculatedColumnFormula>Table5[[#This Row],[$PerTB]]/CompareWarrYrs</calculatedColumnFormula>
    </tableColumn>
    <tableColumn id="16" name="Comp $/Perf/Size" dataDxfId="2"/>
    <tableColumn id="17" name="Energy$year" dataDxfId="1">
      <calculatedColumnFormula>((30/(1000/O3/24)*$E$120)+(30/(1000/P3/24)*(100%-$E$120)))*$E$119*12</calculatedColumnFormula>
    </tableColumn>
    <tableColumn id="20" name="Energy$yearPerTB" dataDxfId="0">
      <calculatedColumnFormula>Table5[[#This Row],[Energy$year]]/Table5[[#This Row],[SizTB]]</calculatedColumnFormula>
    </tableColumn>
    <tableColumn id="19" name="Notes"/>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Z130"/>
  <sheetViews>
    <sheetView tabSelected="1" zoomScaleNormal="100" workbookViewId="0">
      <pane ySplit="2" topLeftCell="A3" activePane="bottomLeft" state="frozen"/>
      <selection pane="bottomLeft" activeCell="H8" sqref="H8"/>
    </sheetView>
  </sheetViews>
  <sheetFormatPr defaultRowHeight="15"/>
  <cols>
    <col min="1" max="1" width="9.85546875" bestFit="1" customWidth="1"/>
    <col min="2" max="2" width="8.28515625" customWidth="1"/>
    <col min="3" max="3" width="20.7109375" bestFit="1" customWidth="1"/>
    <col min="4" max="4" width="7.5703125" customWidth="1"/>
    <col min="5" max="5" width="7.85546875" customWidth="1"/>
    <col min="6" max="6" width="7.7109375" style="5" customWidth="1"/>
    <col min="7" max="8" width="12.85546875" customWidth="1"/>
    <col min="9" max="9" width="9.7109375" customWidth="1"/>
    <col min="10" max="10" width="9.28515625" customWidth="1"/>
    <col min="11" max="14" width="9.7109375" customWidth="1"/>
    <col min="15" max="17" width="11.28515625" customWidth="1"/>
    <col min="18" max="18" width="7.5703125" bestFit="1" customWidth="1"/>
    <col min="19" max="19" width="9" bestFit="1" customWidth="1"/>
    <col min="20" max="20" width="9.85546875" style="4" customWidth="1"/>
    <col min="21" max="21" width="9.42578125" style="4" customWidth="1"/>
    <col min="22" max="22" width="11.42578125" style="4" customWidth="1"/>
    <col min="23" max="23" width="18.7109375" customWidth="1"/>
    <col min="24" max="24" width="10.85546875" customWidth="1"/>
    <col min="25" max="25" width="11.7109375" customWidth="1"/>
    <col min="26" max="26" width="26.42578125" customWidth="1"/>
  </cols>
  <sheetData>
    <row r="1" spans="1:26" ht="15.75" thickBot="1">
      <c r="A1" s="17"/>
      <c r="B1" s="17"/>
      <c r="C1" s="18"/>
      <c r="D1" s="59"/>
      <c r="E1" s="59"/>
      <c r="F1" s="59"/>
      <c r="G1" s="59"/>
      <c r="H1" s="61"/>
      <c r="I1" s="59"/>
      <c r="J1" s="61"/>
      <c r="K1" s="61"/>
      <c r="L1" s="61"/>
      <c r="M1" s="61"/>
      <c r="N1" s="59"/>
      <c r="O1" s="59"/>
      <c r="P1" s="59"/>
      <c r="Q1" s="59"/>
      <c r="R1" s="71" t="s">
        <v>41</v>
      </c>
      <c r="S1" s="72"/>
      <c r="T1" s="71" t="s">
        <v>45</v>
      </c>
      <c r="U1" s="72"/>
      <c r="V1" s="72"/>
      <c r="W1" s="59" t="s">
        <v>36</v>
      </c>
      <c r="X1" s="73" t="s">
        <v>63</v>
      </c>
      <c r="Y1" s="74"/>
      <c r="Z1" s="60"/>
    </row>
    <row r="2" spans="1:26" s="3" customFormat="1" ht="15.75" thickBot="1">
      <c r="A2" s="9" t="s">
        <v>0</v>
      </c>
      <c r="B2" s="9" t="s">
        <v>1</v>
      </c>
      <c r="C2" s="9" t="s">
        <v>4</v>
      </c>
      <c r="D2" s="55" t="s">
        <v>64</v>
      </c>
      <c r="E2" s="55" t="s">
        <v>7</v>
      </c>
      <c r="F2" s="10" t="s">
        <v>30</v>
      </c>
      <c r="G2" s="56" t="s">
        <v>84</v>
      </c>
      <c r="H2" s="56" t="s">
        <v>81</v>
      </c>
      <c r="I2" s="37" t="s">
        <v>29</v>
      </c>
      <c r="J2" s="37" t="s">
        <v>80</v>
      </c>
      <c r="K2" s="37" t="s">
        <v>79</v>
      </c>
      <c r="L2" s="37" t="s">
        <v>77</v>
      </c>
      <c r="M2" s="37" t="s">
        <v>78</v>
      </c>
      <c r="N2" s="37" t="s">
        <v>44</v>
      </c>
      <c r="O2" s="37" t="s">
        <v>8</v>
      </c>
      <c r="P2" s="37" t="s">
        <v>9</v>
      </c>
      <c r="Q2" s="55" t="s">
        <v>37</v>
      </c>
      <c r="R2" s="57" t="s">
        <v>2</v>
      </c>
      <c r="S2" s="58" t="s">
        <v>3</v>
      </c>
      <c r="T2" s="57" t="s">
        <v>40</v>
      </c>
      <c r="U2" s="37" t="s">
        <v>61</v>
      </c>
      <c r="V2" s="58" t="s">
        <v>22</v>
      </c>
      <c r="W2" s="56" t="s">
        <v>39</v>
      </c>
      <c r="X2" s="37" t="s">
        <v>24</v>
      </c>
      <c r="Y2" s="37" t="s">
        <v>60</v>
      </c>
      <c r="Z2" s="21" t="s">
        <v>51</v>
      </c>
    </row>
    <row r="3" spans="1:26" ht="15.75" thickTop="1">
      <c r="A3" s="1">
        <v>42860</v>
      </c>
      <c r="B3" t="s">
        <v>15</v>
      </c>
      <c r="C3" t="s">
        <v>16</v>
      </c>
      <c r="D3" s="44" t="s">
        <v>65</v>
      </c>
      <c r="E3">
        <v>7200</v>
      </c>
      <c r="F3" s="5">
        <v>3</v>
      </c>
      <c r="G3" s="2">
        <f>(Table5[[#This Row],[RPM]]/5400-1)</f>
        <v>0.33333333333333326</v>
      </c>
      <c r="H3" s="62"/>
      <c r="I3">
        <v>3</v>
      </c>
      <c r="J3" s="66"/>
      <c r="L3" s="66"/>
      <c r="M3" s="63"/>
      <c r="N3" s="19">
        <f>1.2*5+2*12</f>
        <v>30</v>
      </c>
      <c r="O3" s="6"/>
      <c r="P3" s="6">
        <v>6.9</v>
      </c>
      <c r="Q3" s="6"/>
      <c r="R3" s="13">
        <v>104.99</v>
      </c>
      <c r="S3" s="11">
        <f>Table5[[#This Row],[Cost]]/Table5[[#This Row],[SizTB]]</f>
        <v>34.996666666666663</v>
      </c>
      <c r="T3" s="12">
        <f>Table5[[#This Row],[Cost]]+((CompareWarrYrs-Table5[[#This Row],[Warnty]])*(Incremental_Warr_Yr*Table5[[#This Row],[Cost]]))</f>
        <v>128.08779999999999</v>
      </c>
      <c r="U3" s="7">
        <f>Table5[[#This Row],[$+Warr]]/Table5[[#This Row],[SizTB]]</f>
        <v>42.695933333333329</v>
      </c>
      <c r="V3" s="11">
        <f>Table5[[#This Row],[$PerTB]]/CompareWarrYrs</f>
        <v>8.5391866666666658</v>
      </c>
      <c r="W3" s="8"/>
      <c r="X3" s="46"/>
      <c r="Y3" s="47"/>
    </row>
    <row r="4" spans="1:26">
      <c r="A4" s="1">
        <v>42951</v>
      </c>
      <c r="B4" t="s">
        <v>15</v>
      </c>
      <c r="C4" t="s">
        <v>16</v>
      </c>
      <c r="D4" s="44" t="s">
        <v>65</v>
      </c>
      <c r="E4">
        <v>7200</v>
      </c>
      <c r="F4" s="5">
        <v>4</v>
      </c>
      <c r="G4" s="2">
        <f>(Table5[[#This Row],[RPM]]/5400-1)</f>
        <v>0.33333333333333326</v>
      </c>
      <c r="H4" s="62"/>
      <c r="I4">
        <v>3</v>
      </c>
      <c r="J4" s="66"/>
      <c r="L4" s="66"/>
      <c r="M4" s="63"/>
      <c r="N4" s="19">
        <f t="shared" ref="N4:N7" si="0">1.2*5+2*12</f>
        <v>30</v>
      </c>
      <c r="O4" s="6"/>
      <c r="P4" s="6">
        <v>6.9</v>
      </c>
      <c r="Q4" s="6"/>
      <c r="R4" s="14">
        <v>114.99</v>
      </c>
      <c r="S4" s="11">
        <f>Table5[[#This Row],[Cost]]/Table5[[#This Row],[SizTB]]</f>
        <v>28.747499999999999</v>
      </c>
      <c r="T4" s="12">
        <f>Table5[[#This Row],[Cost]]+((CompareWarrYrs-Table5[[#This Row],[Warnty]])*(Incremental_Warr_Yr*Table5[[#This Row],[Cost]]))</f>
        <v>140.2878</v>
      </c>
      <c r="U4" s="7">
        <f>Table5[[#This Row],[$+Warr]]/Table5[[#This Row],[SizTB]]</f>
        <v>35.071950000000001</v>
      </c>
      <c r="V4" s="11">
        <f>Table5[[#This Row],[$PerTB]]/CompareWarrYrs</f>
        <v>7.0143900000000006</v>
      </c>
      <c r="W4" s="8"/>
      <c r="X4" s="48"/>
      <c r="Y4" s="49"/>
    </row>
    <row r="5" spans="1:26">
      <c r="A5" s="1">
        <v>42860</v>
      </c>
      <c r="B5" t="s">
        <v>15</v>
      </c>
      <c r="C5" t="s">
        <v>16</v>
      </c>
      <c r="D5" s="44" t="s">
        <v>65</v>
      </c>
      <c r="E5">
        <v>7200</v>
      </c>
      <c r="F5" s="5">
        <v>5</v>
      </c>
      <c r="G5" s="2">
        <f>(Table5[[#This Row],[RPM]]/5400-1)</f>
        <v>0.33333333333333326</v>
      </c>
      <c r="H5" s="62"/>
      <c r="I5">
        <v>3</v>
      </c>
      <c r="J5" s="66"/>
      <c r="L5" s="66"/>
      <c r="M5" s="63"/>
      <c r="N5" s="19">
        <f t="shared" si="0"/>
        <v>30</v>
      </c>
      <c r="O5" s="6"/>
      <c r="P5" s="6">
        <v>6.9</v>
      </c>
      <c r="Q5" s="6"/>
      <c r="R5" s="14">
        <v>249.61</v>
      </c>
      <c r="S5" s="11">
        <f>Table5[[#This Row],[Cost]]/Table5[[#This Row],[SizTB]]</f>
        <v>49.922000000000004</v>
      </c>
      <c r="T5" s="12">
        <f>Table5[[#This Row],[Cost]]+((CompareWarrYrs-Table5[[#This Row],[Warnty]])*(Incremental_Warr_Yr*Table5[[#This Row],[Cost]]))</f>
        <v>304.52420000000001</v>
      </c>
      <c r="U5" s="7">
        <f>Table5[[#This Row],[$+Warr]]/Table5[[#This Row],[SizTB]]</f>
        <v>60.90484</v>
      </c>
      <c r="V5" s="11">
        <f>Table5[[#This Row],[$PerTB]]/CompareWarrYrs</f>
        <v>12.180968</v>
      </c>
      <c r="W5" s="8"/>
      <c r="X5" s="48"/>
      <c r="Y5" s="49"/>
    </row>
    <row r="6" spans="1:26">
      <c r="A6" s="1">
        <v>42957</v>
      </c>
      <c r="B6" t="s">
        <v>15</v>
      </c>
      <c r="C6" t="s">
        <v>16</v>
      </c>
      <c r="D6" s="44" t="s">
        <v>65</v>
      </c>
      <c r="E6">
        <v>7200</v>
      </c>
      <c r="F6" s="5">
        <v>6</v>
      </c>
      <c r="G6" s="2">
        <f>(Table5[[#This Row],[RPM]]/5400-1)</f>
        <v>0.33333333333333326</v>
      </c>
      <c r="H6" s="62"/>
      <c r="I6">
        <v>3</v>
      </c>
      <c r="J6" s="66"/>
      <c r="L6" s="66"/>
      <c r="M6" s="63"/>
      <c r="N6" s="19">
        <f t="shared" si="0"/>
        <v>30</v>
      </c>
      <c r="O6" s="6"/>
      <c r="P6" s="6">
        <v>7.3</v>
      </c>
      <c r="Q6" s="6"/>
      <c r="R6" s="14">
        <v>179.99</v>
      </c>
      <c r="S6" s="11">
        <f>Table5[[#This Row],[Cost]]/Table5[[#This Row],[SizTB]]</f>
        <v>29.998333333333335</v>
      </c>
      <c r="T6" s="12">
        <f>Table5[[#This Row],[Cost]]+((CompareWarrYrs-Table5[[#This Row],[Warnty]])*(Incremental_Warr_Yr*Table5[[#This Row],[Cost]]))</f>
        <v>219.58780000000002</v>
      </c>
      <c r="U6" s="7">
        <f>Table5[[#This Row],[$+Warr]]/Table5[[#This Row],[SizTB]]</f>
        <v>36.597966666666672</v>
      </c>
      <c r="V6" s="11">
        <f>Table5[[#This Row],[$PerTB]]/CompareWarrYrs</f>
        <v>7.3195933333333345</v>
      </c>
      <c r="W6" s="8"/>
      <c r="X6" s="50"/>
      <c r="Y6" s="49"/>
    </row>
    <row r="7" spans="1:26">
      <c r="A7" s="1">
        <v>42944</v>
      </c>
      <c r="B7" t="s">
        <v>15</v>
      </c>
      <c r="C7" t="s">
        <v>16</v>
      </c>
      <c r="D7" s="44" t="s">
        <v>65</v>
      </c>
      <c r="E7">
        <v>7200</v>
      </c>
      <c r="F7" s="5">
        <v>8</v>
      </c>
      <c r="G7" s="2">
        <f>(Table5[[#This Row],[RPM]]/5400-1)</f>
        <v>0.33333333333333326</v>
      </c>
      <c r="H7" s="62"/>
      <c r="I7">
        <v>3</v>
      </c>
      <c r="J7" s="66"/>
      <c r="L7" s="66"/>
      <c r="M7" s="63"/>
      <c r="N7" s="19">
        <f t="shared" si="0"/>
        <v>30</v>
      </c>
      <c r="O7" s="6"/>
      <c r="P7" s="6">
        <v>5.0999999999999996</v>
      </c>
      <c r="Q7" s="6"/>
      <c r="R7" s="14">
        <v>279.99</v>
      </c>
      <c r="S7" s="11">
        <f>Table5[[#This Row],[Cost]]/Table5[[#This Row],[SizTB]]</f>
        <v>34.998750000000001</v>
      </c>
      <c r="T7" s="12">
        <f>Table5[[#This Row],[Cost]]+((CompareWarrYrs-Table5[[#This Row],[Warnty]])*(Incremental_Warr_Yr*Table5[[#This Row],[Cost]]))</f>
        <v>341.58780000000002</v>
      </c>
      <c r="U7" s="7">
        <f>Table5[[#This Row],[$+Warr]]/Table5[[#This Row],[SizTB]]</f>
        <v>42.698475000000002</v>
      </c>
      <c r="V7" s="11">
        <f>Table5[[#This Row],[$PerTB]]/CompareWarrYrs</f>
        <v>8.539695</v>
      </c>
      <c r="W7" s="8"/>
      <c r="X7" s="50"/>
      <c r="Y7" s="49"/>
    </row>
    <row r="8" spans="1:26">
      <c r="A8" s="1">
        <v>42951</v>
      </c>
      <c r="B8" t="s">
        <v>15</v>
      </c>
      <c r="C8" t="s">
        <v>57</v>
      </c>
      <c r="D8" s="44"/>
      <c r="E8">
        <v>7200</v>
      </c>
      <c r="F8" s="5">
        <v>1</v>
      </c>
      <c r="G8" s="2">
        <f>(Table5[[#This Row],[RPM]]/5400-1)</f>
        <v>0.33333333333333326</v>
      </c>
      <c r="H8" s="62"/>
      <c r="I8">
        <v>3</v>
      </c>
      <c r="J8" s="66"/>
      <c r="L8" s="66"/>
      <c r="M8" s="63"/>
      <c r="N8" s="19"/>
      <c r="O8" s="6"/>
      <c r="P8" s="6"/>
      <c r="Q8" s="6"/>
      <c r="R8" s="14">
        <v>53.99</v>
      </c>
      <c r="S8" s="11">
        <f>Table5[[#This Row],[Cost]]/Table5[[#This Row],[SizTB]]</f>
        <v>53.99</v>
      </c>
      <c r="T8" s="12">
        <f>Table5[[#This Row],[Cost]]+((CompareWarrYrs-Table5[[#This Row],[Warnty]])*(Incremental_Warr_Yr*Table5[[#This Row],[Cost]]))</f>
        <v>65.867800000000003</v>
      </c>
      <c r="U8" s="7">
        <f>Table5[[#This Row],[$+Warr]]/Table5[[#This Row],[SizTB]]</f>
        <v>65.867800000000003</v>
      </c>
      <c r="V8" s="11">
        <f>Table5[[#This Row],[$PerTB]]/CompareWarrYrs</f>
        <v>13.17356</v>
      </c>
      <c r="W8" s="8"/>
      <c r="X8" s="48"/>
      <c r="Y8" s="49"/>
    </row>
    <row r="9" spans="1:26">
      <c r="A9" s="1">
        <v>42827</v>
      </c>
      <c r="B9" t="s">
        <v>15</v>
      </c>
      <c r="C9" t="s">
        <v>31</v>
      </c>
      <c r="D9" s="44" t="s">
        <v>65</v>
      </c>
      <c r="E9">
        <v>7200</v>
      </c>
      <c r="F9" s="5">
        <v>2</v>
      </c>
      <c r="G9" s="2">
        <f>(Table5[[#This Row],[RPM]]/5400-1)</f>
        <v>0.33333333333333326</v>
      </c>
      <c r="H9" s="62"/>
      <c r="I9">
        <v>5</v>
      </c>
      <c r="J9" s="66"/>
      <c r="L9" s="66"/>
      <c r="M9" s="63"/>
      <c r="N9" s="19"/>
      <c r="O9" s="6">
        <v>9.1</v>
      </c>
      <c r="P9" s="6">
        <v>7.1</v>
      </c>
      <c r="Q9" s="6"/>
      <c r="R9" s="14">
        <v>149.34</v>
      </c>
      <c r="S9" s="11">
        <f>Table5[[#This Row],[Cost]]/Table5[[#This Row],[SizTB]]</f>
        <v>74.67</v>
      </c>
      <c r="T9" s="12">
        <f>Table5[[#This Row],[Cost]]+((CompareWarrYrs-Table5[[#This Row],[Warnty]])*(Incremental_Warr_Yr*Table5[[#This Row],[Cost]]))</f>
        <v>149.34</v>
      </c>
      <c r="U9" s="7">
        <f>Table5[[#This Row],[$+Warr]]/Table5[[#This Row],[SizTB]]</f>
        <v>74.67</v>
      </c>
      <c r="V9" s="11">
        <f>Table5[[#This Row],[$PerTB]]/CompareWarrYrs</f>
        <v>14.934000000000001</v>
      </c>
      <c r="W9" s="8"/>
      <c r="X9" s="48">
        <f>(((Table5[[#This Row],[Watts Active]]*Power_On_Hours_Year/1000)*Active_Duty_Cycle)+((Table5[[#This Row],[Watts Idle]]*Power_On_Hours_Year/1000)*(100%-Active_Duty_Cycle)))*CostPerKWH</f>
        <v>8.2179000000000002</v>
      </c>
      <c r="Y9" s="49">
        <f>Table5[[#This Row],[Energy$year]]/Table5[[#This Row],[SizTB]]</f>
        <v>4.1089500000000001</v>
      </c>
    </row>
    <row r="10" spans="1:26">
      <c r="A10" s="1">
        <v>42827</v>
      </c>
      <c r="B10" t="s">
        <v>15</v>
      </c>
      <c r="C10" t="s">
        <v>31</v>
      </c>
      <c r="D10" s="44" t="s">
        <v>65</v>
      </c>
      <c r="E10">
        <v>7200</v>
      </c>
      <c r="F10" s="5">
        <v>4</v>
      </c>
      <c r="G10" s="2">
        <f>(Table5[[#This Row],[RPM]]/5400-1)</f>
        <v>0.33333333333333326</v>
      </c>
      <c r="H10" s="62"/>
      <c r="I10">
        <v>5</v>
      </c>
      <c r="J10" s="66"/>
      <c r="L10" s="66"/>
      <c r="M10" s="63"/>
      <c r="N10" s="19"/>
      <c r="O10" s="6">
        <v>9.1</v>
      </c>
      <c r="P10" s="6">
        <v>7.1</v>
      </c>
      <c r="Q10" s="6"/>
      <c r="R10" s="14">
        <v>255.99</v>
      </c>
      <c r="S10" s="11">
        <f>Table5[[#This Row],[Cost]]/Table5[[#This Row],[SizTB]]</f>
        <v>63.997500000000002</v>
      </c>
      <c r="T10" s="12">
        <f>Table5[[#This Row],[Cost]]+((CompareWarrYrs-Table5[[#This Row],[Warnty]])*(Incremental_Warr_Yr*Table5[[#This Row],[Cost]]))</f>
        <v>255.99</v>
      </c>
      <c r="U10" s="7">
        <f>Table5[[#This Row],[$+Warr]]/Table5[[#This Row],[SizTB]]</f>
        <v>63.997500000000002</v>
      </c>
      <c r="V10" s="11">
        <f>Table5[[#This Row],[$PerTB]]/CompareWarrYrs</f>
        <v>12.7995</v>
      </c>
      <c r="W10" s="8"/>
      <c r="X10" s="48">
        <f>(((Table5[[#This Row],[Watts Active]]*Power_On_Hours_Year/1000)*Active_Duty_Cycle)+((Table5[[#This Row],[Watts Idle]]*Power_On_Hours_Year/1000)*(100%-Active_Duty_Cycle)))*CostPerKWH</f>
        <v>8.2179000000000002</v>
      </c>
      <c r="Y10" s="49">
        <f>Table5[[#This Row],[Energy$year]]/Table5[[#This Row],[SizTB]]</f>
        <v>2.0544750000000001</v>
      </c>
    </row>
    <row r="11" spans="1:26">
      <c r="A11" s="1">
        <v>42827</v>
      </c>
      <c r="B11" t="s">
        <v>15</v>
      </c>
      <c r="C11" t="s">
        <v>31</v>
      </c>
      <c r="D11" s="44" t="s">
        <v>65</v>
      </c>
      <c r="E11">
        <v>7200</v>
      </c>
      <c r="F11" s="5">
        <v>5</v>
      </c>
      <c r="G11" s="2">
        <f>(Table5[[#This Row],[RPM]]/5400-1)</f>
        <v>0.33333333333333326</v>
      </c>
      <c r="H11" s="62"/>
      <c r="I11">
        <v>5</v>
      </c>
      <c r="J11" s="66"/>
      <c r="L11" s="66"/>
      <c r="M11" s="63"/>
      <c r="N11" s="19"/>
      <c r="O11" s="6">
        <v>9.1</v>
      </c>
      <c r="P11" s="6">
        <v>7.1</v>
      </c>
      <c r="Q11" s="6"/>
      <c r="R11" s="14">
        <v>381.42</v>
      </c>
      <c r="S11" s="11">
        <f>Table5[[#This Row],[Cost]]/Table5[[#This Row],[SizTB]]</f>
        <v>76.284000000000006</v>
      </c>
      <c r="T11" s="12">
        <f>Table5[[#This Row],[Cost]]+((CompareWarrYrs-Table5[[#This Row],[Warnty]])*(Incremental_Warr_Yr*Table5[[#This Row],[Cost]]))</f>
        <v>381.42</v>
      </c>
      <c r="U11" s="7">
        <f>Table5[[#This Row],[$+Warr]]/Table5[[#This Row],[SizTB]]</f>
        <v>76.284000000000006</v>
      </c>
      <c r="V11" s="11">
        <f>Table5[[#This Row],[$PerTB]]/CompareWarrYrs</f>
        <v>15.256800000000002</v>
      </c>
      <c r="W11" s="8"/>
      <c r="X11" s="48">
        <f>(((Table5[[#This Row],[Watts Active]]*Power_On_Hours_Year/1000)*Active_Duty_Cycle)+((Table5[[#This Row],[Watts Idle]]*Power_On_Hours_Year/1000)*(100%-Active_Duty_Cycle)))*CostPerKWH</f>
        <v>8.2179000000000002</v>
      </c>
      <c r="Y11" s="49">
        <f>Table5[[#This Row],[Energy$year]]/Table5[[#This Row],[SizTB]]</f>
        <v>1.64358</v>
      </c>
    </row>
    <row r="12" spans="1:26">
      <c r="A12" s="1">
        <v>42827</v>
      </c>
      <c r="B12" t="s">
        <v>15</v>
      </c>
      <c r="C12" t="s">
        <v>31</v>
      </c>
      <c r="D12" s="44" t="s">
        <v>65</v>
      </c>
      <c r="E12">
        <v>7200</v>
      </c>
      <c r="F12" s="5">
        <v>6</v>
      </c>
      <c r="G12" s="2">
        <f>(Table5[[#This Row],[RPM]]/5400-1)</f>
        <v>0.33333333333333326</v>
      </c>
      <c r="H12" s="62"/>
      <c r="I12">
        <v>5</v>
      </c>
      <c r="J12" s="66"/>
      <c r="L12" s="66"/>
      <c r="M12" s="63"/>
      <c r="N12" s="19"/>
      <c r="O12" s="6">
        <v>9.1</v>
      </c>
      <c r="P12" s="6">
        <v>7.1</v>
      </c>
      <c r="Q12" s="6"/>
      <c r="R12" s="14">
        <v>301.52999999999997</v>
      </c>
      <c r="S12" s="11">
        <f>Table5[[#This Row],[Cost]]/Table5[[#This Row],[SizTB]]</f>
        <v>50.254999999999995</v>
      </c>
      <c r="T12" s="12">
        <f>Table5[[#This Row],[Cost]]+((CompareWarrYrs-Table5[[#This Row],[Warnty]])*(Incremental_Warr_Yr*Table5[[#This Row],[Cost]]))</f>
        <v>301.52999999999997</v>
      </c>
      <c r="U12" s="7">
        <f>Table5[[#This Row],[$+Warr]]/Table5[[#This Row],[SizTB]]</f>
        <v>50.254999999999995</v>
      </c>
      <c r="V12" s="11">
        <f>Table5[[#This Row],[$PerTB]]/CompareWarrYrs</f>
        <v>10.050999999999998</v>
      </c>
      <c r="W12" s="8"/>
      <c r="X12" s="48">
        <f>(((Table5[[#This Row],[Watts Active]]*Power_On_Hours_Year/1000)*Active_Duty_Cycle)+((Table5[[#This Row],[Watts Idle]]*Power_On_Hours_Year/1000)*(100%-Active_Duty_Cycle)))*CostPerKWH</f>
        <v>8.2179000000000002</v>
      </c>
      <c r="Y12" s="49">
        <f>Table5[[#This Row],[Energy$year]]/Table5[[#This Row],[SizTB]]</f>
        <v>1.36965</v>
      </c>
    </row>
    <row r="13" spans="1:26">
      <c r="A13" s="1">
        <v>42846</v>
      </c>
      <c r="B13" t="s">
        <v>15</v>
      </c>
      <c r="C13" t="s">
        <v>32</v>
      </c>
      <c r="D13" s="44"/>
      <c r="E13">
        <v>7200</v>
      </c>
      <c r="F13" s="5">
        <v>8</v>
      </c>
      <c r="G13" s="2">
        <f>(Table5[[#This Row],[RPM]]/5400-1)</f>
        <v>0.33333333333333326</v>
      </c>
      <c r="H13" s="62"/>
      <c r="I13">
        <v>5</v>
      </c>
      <c r="J13" s="66"/>
      <c r="L13" s="66"/>
      <c r="M13" s="63"/>
      <c r="N13" s="19"/>
      <c r="O13" s="6">
        <v>7.6</v>
      </c>
      <c r="P13" s="6">
        <v>5.0999999999999996</v>
      </c>
      <c r="Q13" s="6"/>
      <c r="R13" s="14">
        <v>373</v>
      </c>
      <c r="S13" s="11">
        <f>Table5[[#This Row],[Cost]]/Table5[[#This Row],[SizTB]]</f>
        <v>46.625</v>
      </c>
      <c r="T13" s="12">
        <f>Table5[[#This Row],[Cost]]+((CompareWarrYrs-Table5[[#This Row],[Warnty]])*(Incremental_Warr_Yr*Table5[[#This Row],[Cost]]))</f>
        <v>373</v>
      </c>
      <c r="U13" s="7">
        <f>Table5[[#This Row],[$+Warr]]/Table5[[#This Row],[SizTB]]</f>
        <v>46.625</v>
      </c>
      <c r="V13" s="11">
        <f>Table5[[#This Row],[$PerTB]]/CompareWarrYrs</f>
        <v>9.3249999999999993</v>
      </c>
      <c r="W13" s="8"/>
      <c r="X13" s="48">
        <f>(((Table5[[#This Row],[Watts Active]]*Power_On_Hours_Year/1000)*Active_Duty_Cycle)+((Table5[[#This Row],[Watts Idle]]*Power_On_Hours_Year/1000)*(100%-Active_Duty_Cycle)))*CostPerKWH</f>
        <v>6.1360319999999993</v>
      </c>
      <c r="Y13" s="49">
        <f>Table5[[#This Row],[Energy$year]]/Table5[[#This Row],[SizTB]]</f>
        <v>0.76700399999999991</v>
      </c>
      <c r="Z13" t="s">
        <v>47</v>
      </c>
    </row>
    <row r="14" spans="1:26">
      <c r="A14" s="1">
        <v>42827</v>
      </c>
      <c r="B14" t="s">
        <v>15</v>
      </c>
      <c r="C14" t="s">
        <v>49</v>
      </c>
      <c r="D14" s="44" t="s">
        <v>65</v>
      </c>
      <c r="E14">
        <v>10520</v>
      </c>
      <c r="F14" s="5">
        <v>1.8</v>
      </c>
      <c r="G14" s="2">
        <f>(Table5[[#This Row],[RPM]]/5400-1)</f>
        <v>0.94814814814814818</v>
      </c>
      <c r="H14" s="62"/>
      <c r="I14">
        <v>5</v>
      </c>
      <c r="J14" s="66"/>
      <c r="L14" s="66"/>
      <c r="M14" s="63"/>
      <c r="N14" s="19"/>
      <c r="O14" s="6">
        <v>7.4</v>
      </c>
      <c r="P14" s="6">
        <v>5.0999999999999996</v>
      </c>
      <c r="Q14" s="6"/>
      <c r="R14" s="14">
        <v>584.89</v>
      </c>
      <c r="S14" s="11">
        <f>Table5[[#This Row],[Cost]]/Table5[[#This Row],[SizTB]]</f>
        <v>324.93888888888887</v>
      </c>
      <c r="T14" s="12">
        <f>Table5[[#This Row],[Cost]]+((CompareWarrYrs-Table5[[#This Row],[Warnty]])*(Incremental_Warr_Yr*Table5[[#This Row],[Cost]]))</f>
        <v>584.89</v>
      </c>
      <c r="U14" s="7">
        <f>Table5[[#This Row],[$+Warr]]/Table5[[#This Row],[SizTB]]</f>
        <v>324.93888888888887</v>
      </c>
      <c r="V14" s="11">
        <f>Table5[[#This Row],[$PerTB]]/CompareWarrYrs</f>
        <v>64.987777777777779</v>
      </c>
      <c r="W14" s="8"/>
      <c r="X14" s="48">
        <f>(((Table5[[#This Row],[Watts Active]]*Power_On_Hours_Year/1000)*Active_Duty_Cycle)+((Table5[[#This Row],[Watts Idle]]*Power_On_Hours_Year/1000)*(100%-Active_Duty_Cycle)))*CostPerKWH</f>
        <v>6.0922031999999993</v>
      </c>
      <c r="Y14" s="49">
        <f>Table5[[#This Row],[Energy$year]]/Table5[[#This Row],[SizTB]]</f>
        <v>3.384557333333333</v>
      </c>
    </row>
    <row r="15" spans="1:26">
      <c r="A15" s="1">
        <v>42961</v>
      </c>
      <c r="B15" t="s">
        <v>10</v>
      </c>
      <c r="C15" t="s">
        <v>21</v>
      </c>
      <c r="D15" s="44"/>
      <c r="E15">
        <v>5900</v>
      </c>
      <c r="F15" s="5">
        <v>5</v>
      </c>
      <c r="G15" s="2">
        <f>(Table5[[#This Row],[RPM]]/5400-1)</f>
        <v>9.259259259259256E-2</v>
      </c>
      <c r="H15" s="62">
        <v>146</v>
      </c>
      <c r="I15">
        <v>3</v>
      </c>
      <c r="J15" s="66">
        <v>300000</v>
      </c>
      <c r="K15">
        <v>180</v>
      </c>
      <c r="L15" s="66">
        <v>800000</v>
      </c>
      <c r="M15" s="63">
        <f t="shared" ref="M15:M17" si="1">10^14</f>
        <v>100000000000000</v>
      </c>
      <c r="N15" s="19">
        <v>24</v>
      </c>
      <c r="O15" s="6">
        <v>5.5</v>
      </c>
      <c r="P15" s="6">
        <v>3.5</v>
      </c>
      <c r="Q15" s="6">
        <v>0.74</v>
      </c>
      <c r="R15" s="14">
        <v>192.01</v>
      </c>
      <c r="S15" s="11">
        <f>Table5[[#This Row],[Cost]]/Table5[[#This Row],[SizTB]]</f>
        <v>38.402000000000001</v>
      </c>
      <c r="T15" s="12">
        <f>Table5[[#This Row],[Cost]]+((CompareWarrYrs-Table5[[#This Row],[Warnty]])*(Incremental_Warr_Yr*Table5[[#This Row],[Cost]]))</f>
        <v>234.25219999999999</v>
      </c>
      <c r="U15" s="7">
        <f>Table5[[#This Row],[$+Warr]]/Table5[[#This Row],[SizTB]]</f>
        <v>46.850439999999999</v>
      </c>
      <c r="V15" s="11">
        <f>Table5[[#This Row],[$PerTB]]/CompareWarrYrs</f>
        <v>9.3700879999999991</v>
      </c>
      <c r="W15" s="8"/>
      <c r="X15" s="48">
        <f>(((Table5[[#This Row],[Watts Active]]*Power_On_Hours_Year/1000)*Active_Duty_Cycle)+((Table5[[#This Row],[Watts Idle]]*Power_On_Hours_Year/1000)*(100%-Active_Duty_Cycle)))*CostPerKWH</f>
        <v>4.2733080000000001</v>
      </c>
      <c r="Y15" s="49">
        <f>Table5[[#This Row],[Energy$year]]/Table5[[#This Row],[SizTB]]</f>
        <v>0.85466160000000002</v>
      </c>
      <c r="Z15" t="s">
        <v>85</v>
      </c>
    </row>
    <row r="16" spans="1:26">
      <c r="A16" s="1">
        <v>42961</v>
      </c>
      <c r="B16" t="s">
        <v>10</v>
      </c>
      <c r="C16" t="s">
        <v>21</v>
      </c>
      <c r="D16" s="44"/>
      <c r="E16">
        <v>5900</v>
      </c>
      <c r="F16" s="5">
        <v>6</v>
      </c>
      <c r="G16" s="2">
        <f>(Table5[[#This Row],[RPM]]/5400-1)</f>
        <v>9.259259259259256E-2</v>
      </c>
      <c r="H16" s="62">
        <v>150</v>
      </c>
      <c r="I16">
        <v>3</v>
      </c>
      <c r="J16" s="66">
        <v>300000</v>
      </c>
      <c r="K16">
        <v>180</v>
      </c>
      <c r="L16" s="66">
        <v>800000</v>
      </c>
      <c r="M16" s="63">
        <f t="shared" si="1"/>
        <v>100000000000000</v>
      </c>
      <c r="N16" s="19">
        <v>24</v>
      </c>
      <c r="O16" s="6">
        <v>7.5</v>
      </c>
      <c r="P16" s="6">
        <v>5</v>
      </c>
      <c r="Q16" s="6">
        <v>0.99</v>
      </c>
      <c r="R16" s="14">
        <v>203.47</v>
      </c>
      <c r="S16" s="11">
        <f>Table5[[#This Row],[Cost]]/Table5[[#This Row],[SizTB]]</f>
        <v>33.911666666666669</v>
      </c>
      <c r="T16" s="12">
        <f>Table5[[#This Row],[Cost]]+((CompareWarrYrs-Table5[[#This Row],[Warnty]])*(Incremental_Warr_Yr*Table5[[#This Row],[Cost]]))</f>
        <v>248.23339999999999</v>
      </c>
      <c r="U16" s="7">
        <f>Table5[[#This Row],[$+Warr]]/Table5[[#This Row],[SizTB]]</f>
        <v>41.372233333333334</v>
      </c>
      <c r="V16" s="11">
        <f>Table5[[#This Row],[$PerTB]]/CompareWarrYrs</f>
        <v>8.2744466666666661</v>
      </c>
      <c r="W16" s="8"/>
      <c r="X16" s="48">
        <f>(((Table5[[#This Row],[Watts Active]]*Power_On_Hours_Year/1000)*Active_Duty_Cycle)+((Table5[[#This Row],[Watts Idle]]*Power_On_Hours_Year/1000)*(100%-Active_Duty_Cycle)))*CostPerKWH</f>
        <v>6.0264600000000002</v>
      </c>
      <c r="Y16" s="51">
        <f>Table5[[#This Row],[Energy$year]]/Table5[[#This Row],[SizTB]]</f>
        <v>1.00441</v>
      </c>
      <c r="Z16" t="s">
        <v>85</v>
      </c>
    </row>
    <row r="17" spans="1:26">
      <c r="A17" s="1">
        <v>42961</v>
      </c>
      <c r="B17" t="s">
        <v>10</v>
      </c>
      <c r="C17" t="s">
        <v>21</v>
      </c>
      <c r="D17" s="44"/>
      <c r="E17">
        <v>5900</v>
      </c>
      <c r="F17" s="5">
        <v>8</v>
      </c>
      <c r="G17" s="2">
        <f>(Table5[[#This Row],[RPM]]/5400-1)</f>
        <v>9.259259259259256E-2</v>
      </c>
      <c r="H17" s="62">
        <v>150</v>
      </c>
      <c r="I17">
        <v>3</v>
      </c>
      <c r="J17" s="66">
        <v>300000</v>
      </c>
      <c r="K17">
        <v>180</v>
      </c>
      <c r="L17" s="66">
        <v>800000</v>
      </c>
      <c r="M17" s="63">
        <f t="shared" si="1"/>
        <v>100000000000000</v>
      </c>
      <c r="N17" s="19">
        <v>24</v>
      </c>
      <c r="O17" s="6">
        <v>7.5</v>
      </c>
      <c r="P17" s="6">
        <v>5</v>
      </c>
      <c r="Q17" s="6">
        <v>0.99</v>
      </c>
      <c r="R17" s="14">
        <f>229.88*0.9</f>
        <v>206.892</v>
      </c>
      <c r="S17" s="11">
        <f>Table5[[#This Row],[Cost]]/Table5[[#This Row],[SizTB]]</f>
        <v>25.861499999999999</v>
      </c>
      <c r="T17" s="12">
        <f>Table5[[#This Row],[Cost]]+((CompareWarrYrs-Table5[[#This Row],[Warnty]])*(Incremental_Warr_Yr*Table5[[#This Row],[Cost]]))</f>
        <v>252.40823999999998</v>
      </c>
      <c r="U17" s="7">
        <f>Table5[[#This Row],[$+Warr]]/Table5[[#This Row],[SizTB]]</f>
        <v>31.551029999999997</v>
      </c>
      <c r="V17" s="11">
        <f>Table5[[#This Row],[$PerTB]]/CompareWarrYrs</f>
        <v>6.3102059999999991</v>
      </c>
      <c r="W17" s="8"/>
      <c r="X17" s="48">
        <f>(((Table5[[#This Row],[Watts Active]]*Power_On_Hours_Year/1000)*Active_Duty_Cycle)+((Table5[[#This Row],[Watts Idle]]*Power_On_Hours_Year/1000)*(100%-Active_Duty_Cycle)))*CostPerKWH</f>
        <v>6.0264600000000002</v>
      </c>
      <c r="Y17" s="49">
        <f>Table5[[#This Row],[Energy$year]]/Table5[[#This Row],[SizTB]]</f>
        <v>0.75330750000000002</v>
      </c>
      <c r="Z17" t="s">
        <v>85</v>
      </c>
    </row>
    <row r="18" spans="1:26">
      <c r="A18" s="1">
        <v>42949</v>
      </c>
      <c r="B18" t="s">
        <v>10</v>
      </c>
      <c r="C18" t="s">
        <v>11</v>
      </c>
      <c r="D18" s="44"/>
      <c r="E18">
        <v>5400</v>
      </c>
      <c r="F18" s="5">
        <v>1</v>
      </c>
      <c r="G18" s="2">
        <f>(Table5[[#This Row],[RPM]]/5400-1)</f>
        <v>0</v>
      </c>
      <c r="H18" s="62"/>
      <c r="I18">
        <v>2</v>
      </c>
      <c r="J18" s="66"/>
      <c r="L18" s="66"/>
      <c r="M18" s="63"/>
      <c r="N18" s="19">
        <v>24</v>
      </c>
      <c r="O18" s="6">
        <v>5.3</v>
      </c>
      <c r="P18" s="6">
        <v>4.5999999999999996</v>
      </c>
      <c r="Q18" s="6">
        <v>0.94</v>
      </c>
      <c r="R18" s="14">
        <v>49.99</v>
      </c>
      <c r="S18" s="11">
        <f>Table5[[#This Row],[Cost]]/Table5[[#This Row],[SizTB]]</f>
        <v>49.99</v>
      </c>
      <c r="T18" s="12">
        <f>Table5[[#This Row],[Cost]]+((CompareWarrYrs-Table5[[#This Row],[Warnty]])*(Incremental_Warr_Yr*Table5[[#This Row],[Cost]]))</f>
        <v>66.486699999999999</v>
      </c>
      <c r="U18" s="7">
        <f>Table5[[#This Row],[$+Warr]]/Table5[[#This Row],[SizTB]]</f>
        <v>66.486699999999999</v>
      </c>
      <c r="V18" s="11">
        <f>Table5[[#This Row],[$PerTB]]/CompareWarrYrs</f>
        <v>13.29734</v>
      </c>
      <c r="W18" s="8"/>
      <c r="X18" s="48">
        <f>(((Table5[[#This Row],[Watts Active]]*Power_On_Hours_Year/1000)*Active_Duty_Cycle)+((Table5[[#This Row],[Watts Idle]]*Power_On_Hours_Year/1000)*(100%-Active_Duty_Cycle)))*CostPerKWH</f>
        <v>5.1937128000000001</v>
      </c>
      <c r="Y18" s="49">
        <f>Table5[[#This Row],[Energy$year]]/Table5[[#This Row],[SizTB]]</f>
        <v>5.1937128000000001</v>
      </c>
    </row>
    <row r="19" spans="1:26">
      <c r="A19" s="1">
        <v>42949</v>
      </c>
      <c r="B19" t="s">
        <v>10</v>
      </c>
      <c r="C19" t="s">
        <v>11</v>
      </c>
      <c r="D19" s="44"/>
      <c r="E19">
        <v>5400</v>
      </c>
      <c r="F19" s="5">
        <v>2</v>
      </c>
      <c r="G19" s="2">
        <f>(Table5[[#This Row],[RPM]]/5400-1)</f>
        <v>0</v>
      </c>
      <c r="H19" s="62"/>
      <c r="I19">
        <v>2</v>
      </c>
      <c r="J19" s="66"/>
      <c r="L19" s="66"/>
      <c r="M19" s="63"/>
      <c r="N19" s="19">
        <v>24</v>
      </c>
      <c r="O19" s="6">
        <v>8</v>
      </c>
      <c r="P19" s="6">
        <v>5.4</v>
      </c>
      <c r="Q19" s="6">
        <v>0.75</v>
      </c>
      <c r="R19" s="14">
        <v>66.989999999999995</v>
      </c>
      <c r="S19" s="11">
        <f>Table5[[#This Row],[Cost]]/Table5[[#This Row],[SizTB]]</f>
        <v>33.494999999999997</v>
      </c>
      <c r="T19" s="12">
        <f>Table5[[#This Row],[Cost]]+((CompareWarrYrs-Table5[[#This Row],[Warnty]])*(Incremental_Warr_Yr*Table5[[#This Row],[Cost]]))</f>
        <v>89.096699999999998</v>
      </c>
      <c r="U19" s="7">
        <f>Table5[[#This Row],[$+Warr]]/Table5[[#This Row],[SizTB]]</f>
        <v>44.548349999999999</v>
      </c>
      <c r="V19" s="11">
        <f>Table5[[#This Row],[$PerTB]]/CompareWarrYrs</f>
        <v>8.9096700000000002</v>
      </c>
      <c r="W19" s="8"/>
      <c r="X19" s="48">
        <f>(((Table5[[#This Row],[Watts Active]]*Power_On_Hours_Year/1000)*Active_Duty_Cycle)+((Table5[[#This Row],[Watts Idle]]*Power_On_Hours_Year/1000)*(100%-Active_Duty_Cycle)))*CostPerKWH</f>
        <v>6.486662400000001</v>
      </c>
      <c r="Y19" s="49">
        <f>Table5[[#This Row],[Energy$year]]/Table5[[#This Row],[SizTB]]</f>
        <v>3.2433312000000005</v>
      </c>
    </row>
    <row r="20" spans="1:26">
      <c r="A20" s="1">
        <v>42949</v>
      </c>
      <c r="B20" t="s">
        <v>10</v>
      </c>
      <c r="C20" t="s">
        <v>11</v>
      </c>
      <c r="D20" s="44"/>
      <c r="E20">
        <v>5400</v>
      </c>
      <c r="F20" s="5">
        <v>3</v>
      </c>
      <c r="G20" s="2">
        <f>(Table5[[#This Row],[RPM]]/5400-1)</f>
        <v>0</v>
      </c>
      <c r="H20" s="62"/>
      <c r="I20">
        <v>2</v>
      </c>
      <c r="J20" s="66"/>
      <c r="L20" s="66"/>
      <c r="M20" s="63"/>
      <c r="N20" s="19">
        <v>24</v>
      </c>
      <c r="O20" s="6">
        <v>8</v>
      </c>
      <c r="P20" s="6">
        <v>5.4</v>
      </c>
      <c r="Q20" s="6">
        <v>0.75</v>
      </c>
      <c r="R20" s="14">
        <v>89.99</v>
      </c>
      <c r="S20" s="11">
        <f>Table5[[#This Row],[Cost]]/Table5[[#This Row],[SizTB]]</f>
        <v>29.996666666666666</v>
      </c>
      <c r="T20" s="12">
        <f>Table5[[#This Row],[Cost]]+((CompareWarrYrs-Table5[[#This Row],[Warnty]])*(Incremental_Warr_Yr*Table5[[#This Row],[Cost]]))</f>
        <v>119.6867</v>
      </c>
      <c r="U20" s="7">
        <f>Table5[[#This Row],[$+Warr]]/Table5[[#This Row],[SizTB]]</f>
        <v>39.895566666666667</v>
      </c>
      <c r="V20" s="11">
        <f>Table5[[#This Row],[$PerTB]]/CompareWarrYrs</f>
        <v>7.9791133333333333</v>
      </c>
      <c r="W20" s="8"/>
      <c r="X20" s="48">
        <f>(((Table5[[#This Row],[Watts Active]]*Power_On_Hours_Year/1000)*Active_Duty_Cycle)+((Table5[[#This Row],[Watts Idle]]*Power_On_Hours_Year/1000)*(100%-Active_Duty_Cycle)))*CostPerKWH</f>
        <v>6.486662400000001</v>
      </c>
      <c r="Y20" s="49">
        <f>Table5[[#This Row],[Energy$year]]/Table5[[#This Row],[SizTB]]</f>
        <v>2.1622208000000005</v>
      </c>
    </row>
    <row r="21" spans="1:26">
      <c r="A21" s="1">
        <v>42949</v>
      </c>
      <c r="B21" t="s">
        <v>10</v>
      </c>
      <c r="C21" t="s">
        <v>11</v>
      </c>
      <c r="D21" s="44"/>
      <c r="E21">
        <v>5400</v>
      </c>
      <c r="F21" s="5">
        <v>4</v>
      </c>
      <c r="G21" s="2">
        <f>(Table5[[#This Row],[RPM]]/5400-1)</f>
        <v>0</v>
      </c>
      <c r="H21" s="62"/>
      <c r="I21">
        <v>2</v>
      </c>
      <c r="J21" s="66"/>
      <c r="L21" s="66"/>
      <c r="M21" s="63"/>
      <c r="N21" s="19">
        <v>24</v>
      </c>
      <c r="O21" s="6">
        <v>5.6</v>
      </c>
      <c r="P21" s="6">
        <v>4</v>
      </c>
      <c r="Q21" s="6">
        <v>0.5</v>
      </c>
      <c r="R21" s="14">
        <v>114</v>
      </c>
      <c r="S21" s="11">
        <f>Table5[[#This Row],[Cost]]/Table5[[#This Row],[SizTB]]</f>
        <v>28.5</v>
      </c>
      <c r="T21" s="12">
        <f>Table5[[#This Row],[Cost]]+((CompareWarrYrs-Table5[[#This Row],[Warnty]])*(Incremental_Warr_Yr*Table5[[#This Row],[Cost]]))</f>
        <v>151.62</v>
      </c>
      <c r="U21" s="7">
        <f>Table5[[#This Row],[$+Warr]]/Table5[[#This Row],[SizTB]]</f>
        <v>37.905000000000001</v>
      </c>
      <c r="V21" s="11">
        <f>Table5[[#This Row],[$PerTB]]/CompareWarrYrs</f>
        <v>7.5810000000000004</v>
      </c>
      <c r="W21" s="8"/>
      <c r="X21" s="48">
        <f>(((Table5[[#This Row],[Watts Active]]*Power_On_Hours_Year/1000)*Active_Duty_Cycle)+((Table5[[#This Row],[Watts Idle]]*Power_On_Hours_Year/1000)*(100%-Active_Duty_Cycle)))*CostPerKWH</f>
        <v>4.7335104000000001</v>
      </c>
      <c r="Y21" s="49">
        <f>Table5[[#This Row],[Energy$year]]/Table5[[#This Row],[SizTB]]</f>
        <v>1.1833776</v>
      </c>
    </row>
    <row r="22" spans="1:26">
      <c r="A22" s="1">
        <v>42947</v>
      </c>
      <c r="B22" t="s">
        <v>10</v>
      </c>
      <c r="C22" t="s">
        <v>62</v>
      </c>
      <c r="D22" s="44"/>
      <c r="E22">
        <v>5400</v>
      </c>
      <c r="F22" s="5">
        <v>1</v>
      </c>
      <c r="G22" s="2">
        <f>(Table5[[#This Row],[RPM]]/5400-1)</f>
        <v>0</v>
      </c>
      <c r="H22" s="62"/>
      <c r="I22">
        <v>2</v>
      </c>
      <c r="J22" s="66"/>
      <c r="L22" s="66"/>
      <c r="M22" s="63"/>
      <c r="N22" s="19">
        <f>1*5</f>
        <v>5</v>
      </c>
      <c r="O22" s="6">
        <v>1.7</v>
      </c>
      <c r="P22" s="6">
        <v>0.45</v>
      </c>
      <c r="Q22" s="6"/>
      <c r="R22" s="14">
        <v>48.99</v>
      </c>
      <c r="S22" s="11">
        <f>Table5[[#This Row],[Cost]]/Table5[[#This Row],[SizTB]]</f>
        <v>48.99</v>
      </c>
      <c r="T22" s="12">
        <f>Table5[[#This Row],[Cost]]+((CompareWarrYrs-Table5[[#This Row],[Warnty]])*(Incremental_Warr_Yr*Table5[[#This Row],[Cost]]))</f>
        <v>65.156700000000001</v>
      </c>
      <c r="U22" s="7">
        <f>Table5[[#This Row],[$+Warr]]/Table5[[#This Row],[SizTB]]</f>
        <v>65.156700000000001</v>
      </c>
      <c r="V22" s="11">
        <f>Table5[[#This Row],[$PerTB]]/CompareWarrYrs</f>
        <v>13.03134</v>
      </c>
      <c r="W22" s="8"/>
      <c r="X22" s="48">
        <f>(((Table5[[#This Row],[Watts Active]]*Power_On_Hours_Year/1000)*Active_Duty_Cycle)+((Table5[[#This Row],[Watts Idle]]*Power_On_Hours_Year/1000)*(100%-Active_Duty_Cycle)))*CostPerKWH</f>
        <v>0.76700400000000002</v>
      </c>
      <c r="Y22" s="49">
        <f>Table5[[#This Row],[Energy$year]]/Table5[[#This Row],[SizTB]]</f>
        <v>0.76700400000000002</v>
      </c>
    </row>
    <row r="23" spans="1:26">
      <c r="A23" s="1">
        <v>42947</v>
      </c>
      <c r="B23" t="s">
        <v>10</v>
      </c>
      <c r="C23" t="s">
        <v>62</v>
      </c>
      <c r="D23" s="44"/>
      <c r="E23">
        <v>5400</v>
      </c>
      <c r="F23" s="5">
        <v>2</v>
      </c>
      <c r="G23" s="2">
        <f>(Table5[[#This Row],[RPM]]/5400-1)</f>
        <v>0</v>
      </c>
      <c r="H23" s="62"/>
      <c r="I23">
        <v>2</v>
      </c>
      <c r="J23" s="66"/>
      <c r="L23" s="66"/>
      <c r="M23" s="63"/>
      <c r="N23" s="19">
        <f>1*5</f>
        <v>5</v>
      </c>
      <c r="O23" s="6">
        <v>1.8</v>
      </c>
      <c r="P23" s="6">
        <v>0.5</v>
      </c>
      <c r="Q23" s="6"/>
      <c r="R23" s="14">
        <v>88.99</v>
      </c>
      <c r="S23" s="11">
        <f>Table5[[#This Row],[Cost]]/Table5[[#This Row],[SizTB]]</f>
        <v>44.494999999999997</v>
      </c>
      <c r="T23" s="12">
        <f>Table5[[#This Row],[Cost]]+((CompareWarrYrs-Table5[[#This Row],[Warnty]])*(Incremental_Warr_Yr*Table5[[#This Row],[Cost]]))</f>
        <v>118.35669999999999</v>
      </c>
      <c r="U23" s="7">
        <f>Table5[[#This Row],[$+Warr]]/Table5[[#This Row],[SizTB]]</f>
        <v>59.178349999999995</v>
      </c>
      <c r="V23" s="11">
        <f>Table5[[#This Row],[$PerTB]]/CompareWarrYrs</f>
        <v>11.835669999999999</v>
      </c>
      <c r="W23" s="8"/>
      <c r="X23" s="48">
        <f>(((Table5[[#This Row],[Watts Active]]*Power_On_Hours_Year/1000)*Active_Duty_Cycle)+((Table5[[#This Row],[Watts Idle]]*Power_On_Hours_Year/1000)*(100%-Active_Duty_Cycle)))*CostPerKWH</f>
        <v>0.83274720000000002</v>
      </c>
      <c r="Y23" s="49">
        <f>Table5[[#This Row],[Energy$year]]/Table5[[#This Row],[SizTB]]</f>
        <v>0.41637360000000001</v>
      </c>
    </row>
    <row r="24" spans="1:26">
      <c r="A24" s="1">
        <v>42947</v>
      </c>
      <c r="B24" t="s">
        <v>10</v>
      </c>
      <c r="C24" t="s">
        <v>62</v>
      </c>
      <c r="D24" s="44"/>
      <c r="E24">
        <v>5400</v>
      </c>
      <c r="F24" s="5">
        <v>3</v>
      </c>
      <c r="G24" s="2">
        <f>(Table5[[#This Row],[RPM]]/5400-1)</f>
        <v>0</v>
      </c>
      <c r="H24" s="62"/>
      <c r="I24">
        <v>2</v>
      </c>
      <c r="J24" s="66"/>
      <c r="L24" s="66"/>
      <c r="M24" s="63"/>
      <c r="N24" s="19">
        <f>1.2*5</f>
        <v>6</v>
      </c>
      <c r="O24" s="6">
        <v>2.1</v>
      </c>
      <c r="P24" s="6">
        <v>1.1000000000000001</v>
      </c>
      <c r="Q24" s="6"/>
      <c r="R24" s="14">
        <v>139.99</v>
      </c>
      <c r="S24" s="11">
        <f>Table5[[#This Row],[Cost]]/Table5[[#This Row],[SizTB]]</f>
        <v>46.663333333333334</v>
      </c>
      <c r="T24" s="12">
        <f>Table5[[#This Row],[Cost]]+((CompareWarrYrs-Table5[[#This Row],[Warnty]])*(Incremental_Warr_Yr*Table5[[#This Row],[Cost]]))</f>
        <v>186.18670000000003</v>
      </c>
      <c r="U24" s="7">
        <f>Table5[[#This Row],[$+Warr]]/Table5[[#This Row],[SizTB]]</f>
        <v>62.062233333333346</v>
      </c>
      <c r="V24" s="11">
        <f>Table5[[#This Row],[$PerTB]]/CompareWarrYrs</f>
        <v>12.41244666666667</v>
      </c>
      <c r="W24" s="8"/>
      <c r="X24" s="48">
        <f>(((Table5[[#This Row],[Watts Active]]*Power_On_Hours_Year/1000)*Active_Duty_Cycle)+((Table5[[#This Row],[Watts Idle]]*Power_On_Hours_Year/1000)*(100%-Active_Duty_Cycle)))*CostPerKWH</f>
        <v>1.4244360000000003</v>
      </c>
      <c r="Y24" s="49">
        <f>Table5[[#This Row],[Energy$year]]/Table5[[#This Row],[SizTB]]</f>
        <v>0.47481200000000007</v>
      </c>
    </row>
    <row r="25" spans="1:26">
      <c r="A25" s="1">
        <v>42947</v>
      </c>
      <c r="B25" t="s">
        <v>10</v>
      </c>
      <c r="C25" t="s">
        <v>62</v>
      </c>
      <c r="D25" s="44"/>
      <c r="E25">
        <v>5400</v>
      </c>
      <c r="F25" s="5">
        <v>4</v>
      </c>
      <c r="G25" s="2">
        <f>(Table5[[#This Row],[RPM]]/5400-1)</f>
        <v>0</v>
      </c>
      <c r="H25" s="62"/>
      <c r="I25">
        <v>2</v>
      </c>
      <c r="J25" s="66"/>
      <c r="L25" s="66"/>
      <c r="M25" s="63"/>
      <c r="N25" s="19">
        <f>1.2*5</f>
        <v>6</v>
      </c>
      <c r="O25" s="6">
        <v>2.1</v>
      </c>
      <c r="P25" s="6">
        <v>1.1000000000000001</v>
      </c>
      <c r="Q25" s="6"/>
      <c r="R25" s="14">
        <v>179.99</v>
      </c>
      <c r="S25" s="11">
        <f>Table5[[#This Row],[Cost]]/Table5[[#This Row],[SizTB]]</f>
        <v>44.997500000000002</v>
      </c>
      <c r="T25" s="12">
        <f>Table5[[#This Row],[Cost]]+((CompareWarrYrs-Table5[[#This Row],[Warnty]])*(Incremental_Warr_Yr*Table5[[#This Row],[Cost]]))</f>
        <v>239.38670000000002</v>
      </c>
      <c r="U25" s="7">
        <f>Table5[[#This Row],[$+Warr]]/Table5[[#This Row],[SizTB]]</f>
        <v>59.846675000000005</v>
      </c>
      <c r="V25" s="11">
        <f>Table5[[#This Row],[$PerTB]]/CompareWarrYrs</f>
        <v>11.969335000000001</v>
      </c>
      <c r="W25" s="8"/>
      <c r="X25" s="48">
        <f>(((Table5[[#This Row],[Watts Active]]*Power_On_Hours_Year/1000)*Active_Duty_Cycle)+((Table5[[#This Row],[Watts Idle]]*Power_On_Hours_Year/1000)*(100%-Active_Duty_Cycle)))*CostPerKWH</f>
        <v>1.4244360000000003</v>
      </c>
      <c r="Y25" s="49">
        <f>Table5[[#This Row],[Energy$year]]/Table5[[#This Row],[SizTB]]</f>
        <v>0.35610900000000006</v>
      </c>
    </row>
    <row r="26" spans="1:26">
      <c r="A26" s="1">
        <v>42947</v>
      </c>
      <c r="B26" t="s">
        <v>10</v>
      </c>
      <c r="C26" t="s">
        <v>62</v>
      </c>
      <c r="D26" s="44"/>
      <c r="E26">
        <v>5400</v>
      </c>
      <c r="F26" s="5">
        <v>5</v>
      </c>
      <c r="G26" s="2">
        <f>(Table5[[#This Row],[RPM]]/5400-1)</f>
        <v>0</v>
      </c>
      <c r="H26" s="62"/>
      <c r="I26">
        <v>2</v>
      </c>
      <c r="J26" s="66"/>
      <c r="L26" s="66"/>
      <c r="M26" s="63"/>
      <c r="N26" s="19">
        <f>1.2*5</f>
        <v>6</v>
      </c>
      <c r="O26" s="6">
        <v>2.1</v>
      </c>
      <c r="P26" s="6">
        <v>1.1000000000000001</v>
      </c>
      <c r="Q26" s="6"/>
      <c r="R26" s="14">
        <v>219.99</v>
      </c>
      <c r="S26" s="11">
        <f>Table5[[#This Row],[Cost]]/Table5[[#This Row],[SizTB]]</f>
        <v>43.998000000000005</v>
      </c>
      <c r="T26" s="12">
        <f>Table5[[#This Row],[Cost]]+((CompareWarrYrs-Table5[[#This Row],[Warnty]])*(Incremental_Warr_Yr*Table5[[#This Row],[Cost]]))</f>
        <v>292.58670000000001</v>
      </c>
      <c r="U26" s="7">
        <f>Table5[[#This Row],[$+Warr]]/Table5[[#This Row],[SizTB]]</f>
        <v>58.517340000000004</v>
      </c>
      <c r="V26" s="11">
        <f>Table5[[#This Row],[$PerTB]]/CompareWarrYrs</f>
        <v>11.703468000000001</v>
      </c>
      <c r="W26" s="8"/>
      <c r="X26" s="48">
        <f>(((Table5[[#This Row],[Watts Active]]*Power_On_Hours_Year/1000)*Active_Duty_Cycle)+((Table5[[#This Row],[Watts Idle]]*Power_On_Hours_Year/1000)*(100%-Active_Duty_Cycle)))*CostPerKWH</f>
        <v>1.4244360000000003</v>
      </c>
      <c r="Y26" s="49">
        <f>Table5[[#This Row],[Energy$year]]/Table5[[#This Row],[SizTB]]</f>
        <v>0.28488720000000006</v>
      </c>
    </row>
    <row r="27" spans="1:26">
      <c r="A27" s="1">
        <v>42888</v>
      </c>
      <c r="B27" t="s">
        <v>10</v>
      </c>
      <c r="C27" t="s">
        <v>18</v>
      </c>
      <c r="D27" s="44"/>
      <c r="E27">
        <v>7200</v>
      </c>
      <c r="F27" s="5">
        <v>2</v>
      </c>
      <c r="G27" s="2">
        <f>(Table5[[#This Row],[RPM]]/5400-1)</f>
        <v>0.33333333333333326</v>
      </c>
      <c r="H27" s="62"/>
      <c r="I27">
        <v>5</v>
      </c>
      <c r="J27" s="66"/>
      <c r="L27" s="66"/>
      <c r="M27" s="63"/>
      <c r="N27" s="19">
        <f t="shared" ref="N27:N32" si="2">12*1.94</f>
        <v>23.28</v>
      </c>
      <c r="O27" s="6">
        <v>8.3699999999999992</v>
      </c>
      <c r="P27" s="6">
        <v>4.42</v>
      </c>
      <c r="Q27" s="6">
        <v>0.8</v>
      </c>
      <c r="R27" s="14">
        <v>79.989999999999995</v>
      </c>
      <c r="S27" s="11">
        <f>Table5[[#This Row],[Cost]]/Table5[[#This Row],[SizTB]]</f>
        <v>39.994999999999997</v>
      </c>
      <c r="T27" s="12">
        <f>Table5[[#This Row],[Cost]]+((CompareWarrYrs-Table5[[#This Row],[Warnty]])*(Incremental_Warr_Yr*Table5[[#This Row],[Cost]]))</f>
        <v>79.989999999999995</v>
      </c>
      <c r="U27" s="7">
        <f>Table5[[#This Row],[$+Warr]]/Table5[[#This Row],[SizTB]]</f>
        <v>39.994999999999997</v>
      </c>
      <c r="V27" s="11">
        <f>Table5[[#This Row],[$PerTB]]/CompareWarrYrs</f>
        <v>7.9989999999999997</v>
      </c>
      <c r="W27" s="8"/>
      <c r="X27" s="48">
        <f>(((Table5[[#This Row],[Watts Active]]*Power_On_Hours_Year/1000)*Active_Duty_Cycle)+((Table5[[#This Row],[Watts Idle]]*Power_On_Hours_Year/1000)*(100%-Active_Duty_Cycle)))*CostPerKWH</f>
        <v>5.7087012000000001</v>
      </c>
      <c r="Y27" s="49">
        <f>Table5[[#This Row],[Energy$year]]/Table5[[#This Row],[SizTB]]</f>
        <v>2.8543506000000001</v>
      </c>
    </row>
    <row r="28" spans="1:26">
      <c r="A28" s="1">
        <v>42861</v>
      </c>
      <c r="B28" t="s">
        <v>10</v>
      </c>
      <c r="C28" t="s">
        <v>18</v>
      </c>
      <c r="D28" s="44"/>
      <c r="E28">
        <v>7200</v>
      </c>
      <c r="F28" s="5">
        <v>4</v>
      </c>
      <c r="G28" s="2">
        <f>(Table5[[#This Row],[RPM]]/5400-1)</f>
        <v>0.33333333333333326</v>
      </c>
      <c r="H28" s="62"/>
      <c r="I28">
        <v>5</v>
      </c>
      <c r="J28" s="66"/>
      <c r="L28" s="66"/>
      <c r="M28" s="63"/>
      <c r="N28" s="19">
        <f t="shared" si="2"/>
        <v>23.28</v>
      </c>
      <c r="O28" s="6">
        <v>8.3699999999999992</v>
      </c>
      <c r="P28" s="6">
        <v>4.42</v>
      </c>
      <c r="Q28" s="6">
        <v>0.8</v>
      </c>
      <c r="R28" s="14">
        <v>184.99</v>
      </c>
      <c r="S28" s="11">
        <f>Table5[[#This Row],[Cost]]/Table5[[#This Row],[SizTB]]</f>
        <v>46.247500000000002</v>
      </c>
      <c r="T28" s="12">
        <f>Table5[[#This Row],[Cost]]+((CompareWarrYrs-Table5[[#This Row],[Warnty]])*(Incremental_Warr_Yr*Table5[[#This Row],[Cost]]))</f>
        <v>184.99</v>
      </c>
      <c r="U28" s="7">
        <f>Table5[[#This Row],[$+Warr]]/Table5[[#This Row],[SizTB]]</f>
        <v>46.247500000000002</v>
      </c>
      <c r="V28" s="11">
        <f>Table5[[#This Row],[$PerTB]]/CompareWarrYrs</f>
        <v>9.2495000000000012</v>
      </c>
      <c r="W28" s="8"/>
      <c r="X28" s="48">
        <f>(((Table5[[#This Row],[Watts Active]]*Power_On_Hours_Year/1000)*Active_Duty_Cycle)+((Table5[[#This Row],[Watts Idle]]*Power_On_Hours_Year/1000)*(100%-Active_Duty_Cycle)))*CostPerKWH</f>
        <v>5.7087012000000001</v>
      </c>
      <c r="Y28" s="49">
        <f>Table5[[#This Row],[Energy$year]]/Table5[[#This Row],[SizTB]]</f>
        <v>1.4271753</v>
      </c>
    </row>
    <row r="29" spans="1:26">
      <c r="A29" s="1">
        <v>42861</v>
      </c>
      <c r="B29" t="s">
        <v>10</v>
      </c>
      <c r="C29" t="s">
        <v>18</v>
      </c>
      <c r="D29" s="44"/>
      <c r="E29">
        <v>7200</v>
      </c>
      <c r="F29" s="5">
        <v>5</v>
      </c>
      <c r="G29" s="2">
        <f>(Table5[[#This Row],[RPM]]/5400-1)</f>
        <v>0.33333333333333326</v>
      </c>
      <c r="H29" s="62"/>
      <c r="I29">
        <v>5</v>
      </c>
      <c r="J29" s="66"/>
      <c r="L29" s="66"/>
      <c r="M29" s="63"/>
      <c r="N29" s="19">
        <f t="shared" si="2"/>
        <v>23.28</v>
      </c>
      <c r="O29" s="6">
        <v>8.3699999999999992</v>
      </c>
      <c r="P29" s="6">
        <v>4.42</v>
      </c>
      <c r="Q29" s="6">
        <v>0.8</v>
      </c>
      <c r="R29" s="14">
        <v>214.99</v>
      </c>
      <c r="S29" s="11">
        <f>Table5[[#This Row],[Cost]]/Table5[[#This Row],[SizTB]]</f>
        <v>42.998000000000005</v>
      </c>
      <c r="T29" s="12">
        <f>Table5[[#This Row],[Cost]]+((CompareWarrYrs-Table5[[#This Row],[Warnty]])*(Incremental_Warr_Yr*Table5[[#This Row],[Cost]]))</f>
        <v>214.99</v>
      </c>
      <c r="U29" s="7">
        <f>Table5[[#This Row],[$+Warr]]/Table5[[#This Row],[SizTB]]</f>
        <v>42.998000000000005</v>
      </c>
      <c r="V29" s="11">
        <f>Table5[[#This Row],[$PerTB]]/CompareWarrYrs</f>
        <v>8.5996000000000006</v>
      </c>
      <c r="W29" s="8"/>
      <c r="X29" s="48">
        <f>(((Table5[[#This Row],[Watts Active]]*Power_On_Hours_Year/1000)*Active_Duty_Cycle)+((Table5[[#This Row],[Watts Idle]]*Power_On_Hours_Year/1000)*(100%-Active_Duty_Cycle)))*CostPerKWH</f>
        <v>5.7087012000000001</v>
      </c>
      <c r="Y29" s="49">
        <f>Table5[[#This Row],[Energy$year]]/Table5[[#This Row],[SizTB]]</f>
        <v>1.1417402400000001</v>
      </c>
    </row>
    <row r="30" spans="1:26">
      <c r="A30" s="1">
        <v>42861</v>
      </c>
      <c r="B30" t="s">
        <v>10</v>
      </c>
      <c r="C30" t="s">
        <v>18</v>
      </c>
      <c r="D30" s="44"/>
      <c r="E30">
        <v>7200</v>
      </c>
      <c r="F30" s="5">
        <v>6</v>
      </c>
      <c r="G30" s="2">
        <f>(Table5[[#This Row],[RPM]]/5400-1)</f>
        <v>0.33333333333333326</v>
      </c>
      <c r="H30" s="62"/>
      <c r="I30">
        <v>5</v>
      </c>
      <c r="J30" s="66"/>
      <c r="L30" s="66"/>
      <c r="M30" s="63"/>
      <c r="N30" s="19">
        <f t="shared" si="2"/>
        <v>23.28</v>
      </c>
      <c r="O30" s="6">
        <v>8.3699999999999992</v>
      </c>
      <c r="P30" s="6">
        <v>4.42</v>
      </c>
      <c r="Q30" s="6">
        <v>0.8</v>
      </c>
      <c r="R30" s="14">
        <v>258.99</v>
      </c>
      <c r="S30" s="11">
        <f>Table5[[#This Row],[Cost]]/Table5[[#This Row],[SizTB]]</f>
        <v>43.164999999999999</v>
      </c>
      <c r="T30" s="12">
        <f>Table5[[#This Row],[Cost]]+((CompareWarrYrs-Table5[[#This Row],[Warnty]])*(Incremental_Warr_Yr*Table5[[#This Row],[Cost]]))</f>
        <v>258.99</v>
      </c>
      <c r="U30" s="7">
        <f>Table5[[#This Row],[$+Warr]]/Table5[[#This Row],[SizTB]]</f>
        <v>43.164999999999999</v>
      </c>
      <c r="V30" s="11">
        <f>Table5[[#This Row],[$PerTB]]/CompareWarrYrs</f>
        <v>8.6329999999999991</v>
      </c>
      <c r="W30" s="8"/>
      <c r="X30" s="48">
        <f>(((Table5[[#This Row],[Watts Active]]*Power_On_Hours_Year/1000)*Active_Duty_Cycle)+((Table5[[#This Row],[Watts Idle]]*Power_On_Hours_Year/1000)*(100%-Active_Duty_Cycle)))*CostPerKWH</f>
        <v>5.7087012000000001</v>
      </c>
      <c r="Y30" s="49">
        <f>Table5[[#This Row],[Energy$year]]/Table5[[#This Row],[SizTB]]</f>
        <v>0.95145020000000002</v>
      </c>
    </row>
    <row r="31" spans="1:26">
      <c r="A31" s="1">
        <v>42861</v>
      </c>
      <c r="B31" t="s">
        <v>10</v>
      </c>
      <c r="C31" t="s">
        <v>18</v>
      </c>
      <c r="D31" s="44"/>
      <c r="E31">
        <v>7200</v>
      </c>
      <c r="F31" s="5">
        <v>8</v>
      </c>
      <c r="G31" s="2">
        <f>(Table5[[#This Row],[RPM]]/5400-1)</f>
        <v>0.33333333333333326</v>
      </c>
      <c r="H31" s="62"/>
      <c r="I31">
        <v>5</v>
      </c>
      <c r="J31" s="66"/>
      <c r="L31" s="66"/>
      <c r="M31" s="63"/>
      <c r="N31" s="19">
        <f t="shared" si="2"/>
        <v>23.28</v>
      </c>
      <c r="O31" s="6">
        <v>8.3699999999999992</v>
      </c>
      <c r="P31" s="6">
        <v>4.42</v>
      </c>
      <c r="Q31" s="6">
        <v>0.8</v>
      </c>
      <c r="R31" s="14">
        <v>334.99</v>
      </c>
      <c r="S31" s="11">
        <f>Table5[[#This Row],[Cost]]/Table5[[#This Row],[SizTB]]</f>
        <v>41.873750000000001</v>
      </c>
      <c r="T31" s="12">
        <f>Table5[[#This Row],[Cost]]+((CompareWarrYrs-Table5[[#This Row],[Warnty]])*(Incremental_Warr_Yr*Table5[[#This Row],[Cost]]))</f>
        <v>334.99</v>
      </c>
      <c r="U31" s="7">
        <f>Table5[[#This Row],[$+Warr]]/Table5[[#This Row],[SizTB]]</f>
        <v>41.873750000000001</v>
      </c>
      <c r="V31" s="11">
        <f>Table5[[#This Row],[$PerTB]]/CompareWarrYrs</f>
        <v>8.3747500000000006</v>
      </c>
      <c r="W31" s="8"/>
      <c r="X31" s="48">
        <f>(((Table5[[#This Row],[Watts Active]]*Power_On_Hours_Year/1000)*Active_Duty_Cycle)+((Table5[[#This Row],[Watts Idle]]*Power_On_Hours_Year/1000)*(100%-Active_Duty_Cycle)))*CostPerKWH</f>
        <v>5.7087012000000001</v>
      </c>
      <c r="Y31" s="49">
        <f>Table5[[#This Row],[Energy$year]]/Table5[[#This Row],[SizTB]]</f>
        <v>0.71358765000000002</v>
      </c>
    </row>
    <row r="32" spans="1:26">
      <c r="A32" s="1">
        <v>42861</v>
      </c>
      <c r="B32" t="s">
        <v>10</v>
      </c>
      <c r="C32" t="s">
        <v>18</v>
      </c>
      <c r="D32" s="44"/>
      <c r="E32">
        <v>7200</v>
      </c>
      <c r="F32" s="5">
        <v>10</v>
      </c>
      <c r="G32" s="2">
        <f>(Table5[[#This Row],[RPM]]/5400-1)</f>
        <v>0.33333333333333326</v>
      </c>
      <c r="H32" s="62"/>
      <c r="I32">
        <v>5</v>
      </c>
      <c r="J32" s="66"/>
      <c r="L32" s="66"/>
      <c r="M32" s="63"/>
      <c r="N32" s="19">
        <f t="shared" si="2"/>
        <v>23.28</v>
      </c>
      <c r="O32" s="6">
        <v>8.3699999999999992</v>
      </c>
      <c r="P32" s="6">
        <v>4.42</v>
      </c>
      <c r="Q32" s="6">
        <v>0.8</v>
      </c>
      <c r="R32" s="14">
        <v>434.99</v>
      </c>
      <c r="S32" s="11">
        <f>Table5[[#This Row],[Cost]]/Table5[[#This Row],[SizTB]]</f>
        <v>43.499000000000002</v>
      </c>
      <c r="T32" s="12">
        <f>Table5[[#This Row],[Cost]]+((CompareWarrYrs-Table5[[#This Row],[Warnty]])*(Incremental_Warr_Yr*Table5[[#This Row],[Cost]]))</f>
        <v>434.99</v>
      </c>
      <c r="U32" s="7">
        <f>Table5[[#This Row],[$+Warr]]/Table5[[#This Row],[SizTB]]</f>
        <v>43.499000000000002</v>
      </c>
      <c r="V32" s="11">
        <f>Table5[[#This Row],[$PerTB]]/CompareWarrYrs</f>
        <v>8.6997999999999998</v>
      </c>
      <c r="W32" s="8"/>
      <c r="X32" s="48">
        <f>(((Table5[[#This Row],[Watts Active]]*Power_On_Hours_Year/1000)*Active_Duty_Cycle)+((Table5[[#This Row],[Watts Idle]]*Power_On_Hours_Year/1000)*(100%-Active_Duty_Cycle)))*CostPerKWH</f>
        <v>5.7087012000000001</v>
      </c>
      <c r="Y32" s="49">
        <f>Table5[[#This Row],[Energy$year]]/Table5[[#This Row],[SizTB]]</f>
        <v>0.57087012000000004</v>
      </c>
    </row>
    <row r="33" spans="1:26">
      <c r="A33" s="1">
        <v>42895</v>
      </c>
      <c r="B33" t="s">
        <v>10</v>
      </c>
      <c r="C33" t="s">
        <v>59</v>
      </c>
      <c r="D33" s="44" t="s">
        <v>65</v>
      </c>
      <c r="E33">
        <v>7200</v>
      </c>
      <c r="F33" s="5">
        <v>1</v>
      </c>
      <c r="G33" s="2">
        <f>(Table5[[#This Row],[RPM]]/5400-1)</f>
        <v>0.33333333333333326</v>
      </c>
      <c r="H33" s="62"/>
      <c r="I33">
        <v>5</v>
      </c>
      <c r="J33" s="66"/>
      <c r="L33" s="66"/>
      <c r="M33" s="63"/>
      <c r="N33" s="19">
        <f>2.6*12</f>
        <v>31.200000000000003</v>
      </c>
      <c r="O33" s="6">
        <v>8.08</v>
      </c>
      <c r="P33" s="6">
        <v>4.45</v>
      </c>
      <c r="Q33" s="6">
        <f>0.15*5+0.01*12</f>
        <v>0.87</v>
      </c>
      <c r="R33" s="14">
        <v>95</v>
      </c>
      <c r="S33" s="11">
        <f>Table5[[#This Row],[Cost]]/Table5[[#This Row],[SizTB]]</f>
        <v>95</v>
      </c>
      <c r="T33" s="12">
        <f>Table5[[#This Row],[Cost]]+((CompareWarrYrs-Table5[[#This Row],[Warnty]])*(Incremental_Warr_Yr*Table5[[#This Row],[Cost]]))</f>
        <v>95</v>
      </c>
      <c r="U33" s="7">
        <f>Table5[[#This Row],[$+Warr]]/Table5[[#This Row],[SizTB]]</f>
        <v>95</v>
      </c>
      <c r="V33" s="11">
        <f>Table5[[#This Row],[$PerTB]]/CompareWarrYrs</f>
        <v>19</v>
      </c>
      <c r="W33" s="20"/>
      <c r="X33" s="48">
        <f>(((Table5[[#This Row],[Watts Active]]*Power_On_Hours_Year/1000)*Active_Duty_Cycle)+((Table5[[#This Row],[Watts Idle]]*Power_On_Hours_Year/1000)*(100%-Active_Duty_Cycle)))*CostPerKWH</f>
        <v>5.6714467200000014</v>
      </c>
      <c r="Y33" s="49">
        <f>Table5[[#This Row],[Energy$year]]/Table5[[#This Row],[SizTB]]</f>
        <v>5.6714467200000014</v>
      </c>
    </row>
    <row r="34" spans="1:26">
      <c r="A34" s="1">
        <v>42895</v>
      </c>
      <c r="B34" t="s">
        <v>10</v>
      </c>
      <c r="C34" t="s">
        <v>59</v>
      </c>
      <c r="D34" s="44" t="s">
        <v>65</v>
      </c>
      <c r="E34">
        <v>7200</v>
      </c>
      <c r="F34" s="5">
        <v>2</v>
      </c>
      <c r="G34" s="2">
        <f>(Table5[[#This Row],[RPM]]/5400-1)</f>
        <v>0.33333333333333326</v>
      </c>
      <c r="H34" s="62"/>
      <c r="I34">
        <v>5</v>
      </c>
      <c r="J34" s="66"/>
      <c r="L34" s="66"/>
      <c r="M34" s="63"/>
      <c r="N34" s="19">
        <f t="shared" ref="N34:N36" si="3">2.6*12</f>
        <v>31.200000000000003</v>
      </c>
      <c r="O34" s="6">
        <v>9.42</v>
      </c>
      <c r="P34" s="6">
        <v>5.17</v>
      </c>
      <c r="Q34" s="6">
        <f>0.15*5+0.01*12</f>
        <v>0.87</v>
      </c>
      <c r="R34" s="14">
        <v>124</v>
      </c>
      <c r="S34" s="11">
        <f>Table5[[#This Row],[Cost]]/Table5[[#This Row],[SizTB]]</f>
        <v>62</v>
      </c>
      <c r="T34" s="12">
        <f>Table5[[#This Row],[Cost]]+((CompareWarrYrs-Table5[[#This Row],[Warnty]])*(Incremental_Warr_Yr*Table5[[#This Row],[Cost]]))</f>
        <v>124</v>
      </c>
      <c r="U34" s="7">
        <f>Table5[[#This Row],[$+Warr]]/Table5[[#This Row],[SizTB]]</f>
        <v>62</v>
      </c>
      <c r="V34" s="11">
        <f>Table5[[#This Row],[$PerTB]]/CompareWarrYrs</f>
        <v>12.4</v>
      </c>
      <c r="W34" s="20"/>
      <c r="X34" s="48">
        <f>(((Table5[[#This Row],[Watts Active]]*Power_On_Hours_Year/1000)*Active_Duty_Cycle)+((Table5[[#This Row],[Watts Idle]]*Power_On_Hours_Year/1000)*(100%-Active_Duty_Cycle)))*CostPerKWH</f>
        <v>6.5962344000000002</v>
      </c>
      <c r="Y34" s="49">
        <f>Table5[[#This Row],[Energy$year]]/Table5[[#This Row],[SizTB]]</f>
        <v>3.2981172000000001</v>
      </c>
    </row>
    <row r="35" spans="1:26">
      <c r="A35" s="1">
        <v>42895</v>
      </c>
      <c r="B35" t="s">
        <v>10</v>
      </c>
      <c r="C35" t="s">
        <v>59</v>
      </c>
      <c r="D35" s="44" t="s">
        <v>65</v>
      </c>
      <c r="E35">
        <v>7200</v>
      </c>
      <c r="F35" s="5">
        <v>3</v>
      </c>
      <c r="G35" s="2">
        <f>(Table5[[#This Row],[RPM]]/5400-1)</f>
        <v>0.33333333333333326</v>
      </c>
      <c r="H35" s="62"/>
      <c r="I35">
        <v>5</v>
      </c>
      <c r="J35" s="66"/>
      <c r="L35" s="66"/>
      <c r="M35" s="63"/>
      <c r="N35" s="19">
        <f t="shared" si="3"/>
        <v>31.200000000000003</v>
      </c>
      <c r="O35" s="6">
        <v>11.27</v>
      </c>
      <c r="P35" s="19">
        <v>6.73</v>
      </c>
      <c r="Q35" s="6">
        <f>0.15*5+0.01*12</f>
        <v>0.87</v>
      </c>
      <c r="R35" s="14">
        <v>149.99</v>
      </c>
      <c r="S35" s="11">
        <f>Table5[[#This Row],[Cost]]/Table5[[#This Row],[SizTB]]</f>
        <v>49.99666666666667</v>
      </c>
      <c r="T35" s="12">
        <f>Table5[[#This Row],[Cost]]+((CompareWarrYrs-Table5[[#This Row],[Warnty]])*(Incremental_Warr_Yr*Table5[[#This Row],[Cost]]))</f>
        <v>149.99</v>
      </c>
      <c r="U35" s="7">
        <f>Table5[[#This Row],[$+Warr]]/Table5[[#This Row],[SizTB]]</f>
        <v>49.99666666666667</v>
      </c>
      <c r="V35" s="11">
        <f>Table5[[#This Row],[$PerTB]]/CompareWarrYrs</f>
        <v>9.9993333333333343</v>
      </c>
      <c r="W35" s="20"/>
      <c r="X35" s="48">
        <f>(((Table5[[#This Row],[Watts Active]]*Power_On_Hours_Year/1000)*Active_Duty_Cycle)+((Table5[[#This Row],[Watts Idle]]*Power_On_Hours_Year/1000)*(100%-Active_Duty_Cycle)))*CostPerKWH</f>
        <v>8.3691093600000013</v>
      </c>
      <c r="Y35" s="49">
        <f>Table5[[#This Row],[Energy$year]]/Table5[[#This Row],[SizTB]]</f>
        <v>2.7897031200000004</v>
      </c>
    </row>
    <row r="36" spans="1:26">
      <c r="A36" s="1">
        <v>42895</v>
      </c>
      <c r="B36" t="s">
        <v>10</v>
      </c>
      <c r="C36" t="s">
        <v>59</v>
      </c>
      <c r="D36" s="44" t="s">
        <v>65</v>
      </c>
      <c r="E36">
        <v>7200</v>
      </c>
      <c r="F36" s="5">
        <v>4</v>
      </c>
      <c r="G36" s="2">
        <f>(Table5[[#This Row],[RPM]]/5400-1)</f>
        <v>0.33333333333333326</v>
      </c>
      <c r="H36" s="62"/>
      <c r="I36">
        <v>5</v>
      </c>
      <c r="J36" s="66"/>
      <c r="L36" s="66"/>
      <c r="M36" s="63"/>
      <c r="N36" s="19">
        <f t="shared" si="3"/>
        <v>31.200000000000003</v>
      </c>
      <c r="O36" s="6">
        <v>11.27</v>
      </c>
      <c r="P36" s="6">
        <v>6.73</v>
      </c>
      <c r="Q36" s="6">
        <f>0.15*5+0.01*12</f>
        <v>0.87</v>
      </c>
      <c r="R36" s="14">
        <v>159.99</v>
      </c>
      <c r="S36" s="11">
        <f>Table5[[#This Row],[Cost]]/Table5[[#This Row],[SizTB]]</f>
        <v>39.997500000000002</v>
      </c>
      <c r="T36" s="12">
        <f>Table5[[#This Row],[Cost]]+((CompareWarrYrs-Table5[[#This Row],[Warnty]])*(Incremental_Warr_Yr*Table5[[#This Row],[Cost]]))</f>
        <v>159.99</v>
      </c>
      <c r="U36" s="7">
        <f>Table5[[#This Row],[$+Warr]]/Table5[[#This Row],[SizTB]]</f>
        <v>39.997500000000002</v>
      </c>
      <c r="V36" s="11">
        <f>Table5[[#This Row],[$PerTB]]/CompareWarrYrs</f>
        <v>7.9995000000000003</v>
      </c>
      <c r="W36" s="20"/>
      <c r="X36" s="48">
        <f>(((Table5[[#This Row],[Watts Active]]*Power_On_Hours_Year/1000)*Active_Duty_Cycle)+((Table5[[#This Row],[Watts Idle]]*Power_On_Hours_Year/1000)*(100%-Active_Duty_Cycle)))*CostPerKWH</f>
        <v>8.3691093600000013</v>
      </c>
      <c r="Y36" s="49">
        <f>Table5[[#This Row],[Energy$year]]/Table5[[#This Row],[SizTB]]</f>
        <v>2.0922773400000003</v>
      </c>
    </row>
    <row r="37" spans="1:26">
      <c r="A37" s="1">
        <v>42842</v>
      </c>
      <c r="B37" t="s">
        <v>10</v>
      </c>
      <c r="C37" t="s">
        <v>20</v>
      </c>
      <c r="D37" s="44" t="s">
        <v>65</v>
      </c>
      <c r="E37">
        <v>7200</v>
      </c>
      <c r="F37" s="5">
        <v>1</v>
      </c>
      <c r="G37" s="2">
        <f>(Table5[[#This Row],[RPM]]/5400-1)</f>
        <v>0.33333333333333326</v>
      </c>
      <c r="H37" s="62"/>
      <c r="I37">
        <v>5</v>
      </c>
      <c r="J37" s="66"/>
      <c r="K37">
        <v>550</v>
      </c>
      <c r="L37" s="66"/>
      <c r="M37" s="63"/>
      <c r="N37" s="19"/>
      <c r="O37" s="6"/>
      <c r="P37" s="6"/>
      <c r="Q37" s="6"/>
      <c r="R37" s="14">
        <v>99.99</v>
      </c>
      <c r="S37" s="11">
        <f>Table5[[#This Row],[Cost]]/Table5[[#This Row],[SizTB]]</f>
        <v>99.99</v>
      </c>
      <c r="T37" s="12">
        <f>Table5[[#This Row],[Cost]]+((CompareWarrYrs-Table5[[#This Row],[Warnty]])*(Incremental_Warr_Yr*Table5[[#This Row],[Cost]]))</f>
        <v>99.99</v>
      </c>
      <c r="U37" s="7">
        <f>Table5[[#This Row],[$+Warr]]/Table5[[#This Row],[SizTB]]</f>
        <v>99.99</v>
      </c>
      <c r="V37" s="11">
        <f>Table5[[#This Row],[$PerTB]]/CompareWarrYrs</f>
        <v>19.997999999999998</v>
      </c>
      <c r="W37" s="8"/>
      <c r="X37" s="48"/>
      <c r="Y37" s="49"/>
    </row>
    <row r="38" spans="1:26">
      <c r="A38" s="1">
        <v>42842</v>
      </c>
      <c r="B38" t="s">
        <v>10</v>
      </c>
      <c r="C38" t="s">
        <v>20</v>
      </c>
      <c r="D38" s="44" t="s">
        <v>65</v>
      </c>
      <c r="E38">
        <v>7200</v>
      </c>
      <c r="F38" s="5">
        <v>2</v>
      </c>
      <c r="G38" s="2">
        <f>(Table5[[#This Row],[RPM]]/5400-1)</f>
        <v>0.33333333333333326</v>
      </c>
      <c r="H38" s="62"/>
      <c r="I38">
        <v>5</v>
      </c>
      <c r="J38" s="66"/>
      <c r="K38">
        <v>550</v>
      </c>
      <c r="L38" s="66"/>
      <c r="M38" s="63"/>
      <c r="N38" s="19">
        <f t="shared" ref="N38:N41" si="4">12*1.8</f>
        <v>21.6</v>
      </c>
      <c r="O38" s="6">
        <v>6.4</v>
      </c>
      <c r="P38" s="6">
        <v>4.5</v>
      </c>
      <c r="Q38" s="6">
        <v>0.6</v>
      </c>
      <c r="R38" s="14">
        <v>139.99</v>
      </c>
      <c r="S38" s="11">
        <f>Table5[[#This Row],[Cost]]/Table5[[#This Row],[SizTB]]</f>
        <v>69.995000000000005</v>
      </c>
      <c r="T38" s="12">
        <f>Table5[[#This Row],[Cost]]+((CompareWarrYrs-Table5[[#This Row],[Warnty]])*(Incremental_Warr_Yr*Table5[[#This Row],[Cost]]))</f>
        <v>139.99</v>
      </c>
      <c r="U38" s="7">
        <f>Table5[[#This Row],[$+Warr]]/Table5[[#This Row],[SizTB]]</f>
        <v>69.995000000000005</v>
      </c>
      <c r="V38" s="11">
        <f>Table5[[#This Row],[$PerTB]]/CompareWarrYrs</f>
        <v>13.999000000000001</v>
      </c>
      <c r="W38" s="8"/>
      <c r="X38" s="48">
        <f>(((Table5[[#This Row],[Watts Active]]*Power_On_Hours_Year/1000)*Active_Duty_Cycle)+((Table5[[#This Row],[Watts Idle]]*Power_On_Hours_Year/1000)*(100%-Active_Duty_Cycle)))*CostPerKWH</f>
        <v>5.3471136000000001</v>
      </c>
      <c r="Y38" s="49">
        <f>Table5[[#This Row],[Energy$year]]/Table5[[#This Row],[SizTB]]</f>
        <v>2.6735568000000001</v>
      </c>
    </row>
    <row r="39" spans="1:26">
      <c r="A39" s="1">
        <v>42842</v>
      </c>
      <c r="B39" t="s">
        <v>10</v>
      </c>
      <c r="C39" t="s">
        <v>20</v>
      </c>
      <c r="D39" s="44" t="s">
        <v>65</v>
      </c>
      <c r="E39">
        <v>7200</v>
      </c>
      <c r="F39" s="5">
        <v>3</v>
      </c>
      <c r="G39" s="2">
        <f>(Table5[[#This Row],[RPM]]/5400-1)</f>
        <v>0.33333333333333326</v>
      </c>
      <c r="H39" s="62"/>
      <c r="I39">
        <v>5</v>
      </c>
      <c r="J39" s="66"/>
      <c r="K39">
        <v>550</v>
      </c>
      <c r="L39" s="66"/>
      <c r="M39" s="63"/>
      <c r="N39" s="19">
        <f t="shared" si="4"/>
        <v>21.6</v>
      </c>
      <c r="O39" s="6">
        <v>6.7</v>
      </c>
      <c r="P39" s="6">
        <v>6</v>
      </c>
      <c r="Q39" s="6">
        <v>0.6</v>
      </c>
      <c r="R39" s="14">
        <v>176.92</v>
      </c>
      <c r="S39" s="11">
        <f>Table5[[#This Row],[Cost]]/Table5[[#This Row],[SizTB]]</f>
        <v>58.973333333333329</v>
      </c>
      <c r="T39" s="12">
        <f>Table5[[#This Row],[Cost]]+((CompareWarrYrs-Table5[[#This Row],[Warnty]])*(Incremental_Warr_Yr*Table5[[#This Row],[Cost]]))</f>
        <v>176.92</v>
      </c>
      <c r="U39" s="7">
        <f>Table5[[#This Row],[$+Warr]]/Table5[[#This Row],[SizTB]]</f>
        <v>58.973333333333329</v>
      </c>
      <c r="V39" s="11">
        <f>Table5[[#This Row],[$PerTB]]/CompareWarrYrs</f>
        <v>11.794666666666666</v>
      </c>
      <c r="W39" s="8"/>
      <c r="X39" s="48">
        <f>(((Table5[[#This Row],[Watts Active]]*Power_On_Hours_Year/1000)*Active_Duty_Cycle)+((Table5[[#This Row],[Watts Idle]]*Power_On_Hours_Year/1000)*(100%-Active_Duty_Cycle)))*CostPerKWH</f>
        <v>6.7277208000000002</v>
      </c>
      <c r="Y39" s="49">
        <f>Table5[[#This Row],[Energy$year]]/Table5[[#This Row],[SizTB]]</f>
        <v>2.2425736000000001</v>
      </c>
    </row>
    <row r="40" spans="1:26">
      <c r="A40" s="1">
        <v>42960</v>
      </c>
      <c r="B40" t="s">
        <v>10</v>
      </c>
      <c r="C40" t="s">
        <v>20</v>
      </c>
      <c r="D40" s="44" t="s">
        <v>65</v>
      </c>
      <c r="E40">
        <v>7200</v>
      </c>
      <c r="F40" s="5">
        <v>4</v>
      </c>
      <c r="G40" s="2">
        <f>(Table5[[#This Row],[RPM]]/5400-1)</f>
        <v>0.33333333333333326</v>
      </c>
      <c r="H40" s="62"/>
      <c r="I40">
        <v>5</v>
      </c>
      <c r="J40" s="66"/>
      <c r="K40">
        <v>550</v>
      </c>
      <c r="L40" s="66"/>
      <c r="M40" s="63"/>
      <c r="N40" s="19">
        <f t="shared" si="4"/>
        <v>21.6</v>
      </c>
      <c r="O40" s="6">
        <v>6.7</v>
      </c>
      <c r="P40" s="6">
        <v>6</v>
      </c>
      <c r="Q40" s="6">
        <v>0.6</v>
      </c>
      <c r="R40" s="14">
        <v>219.99</v>
      </c>
      <c r="S40" s="11">
        <f>Table5[[#This Row],[Cost]]/Table5[[#This Row],[SizTB]]</f>
        <v>54.997500000000002</v>
      </c>
      <c r="T40" s="12">
        <f>Table5[[#This Row],[Cost]]+((CompareWarrYrs-Table5[[#This Row],[Warnty]])*(Incremental_Warr_Yr*Table5[[#This Row],[Cost]]))</f>
        <v>219.99</v>
      </c>
      <c r="U40" s="7">
        <f>Table5[[#This Row],[$+Warr]]/Table5[[#This Row],[SizTB]]</f>
        <v>54.997500000000002</v>
      </c>
      <c r="V40" s="11">
        <f>Table5[[#This Row],[$PerTB]]/CompareWarrYrs</f>
        <v>10.999500000000001</v>
      </c>
      <c r="W40" s="8"/>
      <c r="X40" s="48">
        <f>(((Table5[[#This Row],[Watts Active]]*Power_On_Hours_Year/1000)*Active_Duty_Cycle)+((Table5[[#This Row],[Watts Idle]]*Power_On_Hours_Year/1000)*(100%-Active_Duty_Cycle)))*CostPerKWH</f>
        <v>6.7277208000000002</v>
      </c>
      <c r="Y40" s="49">
        <f>Table5[[#This Row],[Energy$year]]/Table5[[#This Row],[SizTB]]</f>
        <v>1.6819302</v>
      </c>
    </row>
    <row r="41" spans="1:26">
      <c r="A41" s="1">
        <v>42960</v>
      </c>
      <c r="B41" t="s">
        <v>10</v>
      </c>
      <c r="C41" t="s">
        <v>20</v>
      </c>
      <c r="D41" s="44" t="s">
        <v>65</v>
      </c>
      <c r="E41">
        <v>7200</v>
      </c>
      <c r="F41" s="5">
        <v>6</v>
      </c>
      <c r="G41" s="2">
        <f>(Table5[[#This Row],[RPM]]/5400-1)</f>
        <v>0.33333333333333326</v>
      </c>
      <c r="H41" s="62"/>
      <c r="I41">
        <v>5</v>
      </c>
      <c r="J41" s="66"/>
      <c r="K41">
        <v>550</v>
      </c>
      <c r="L41" s="66"/>
      <c r="M41" s="63"/>
      <c r="N41" s="19">
        <f t="shared" si="4"/>
        <v>21.6</v>
      </c>
      <c r="O41" s="6">
        <v>9</v>
      </c>
      <c r="P41" s="6">
        <v>6.9</v>
      </c>
      <c r="Q41" s="6">
        <v>0.6</v>
      </c>
      <c r="R41" s="14">
        <v>287.99</v>
      </c>
      <c r="S41" s="11">
        <f>Table5[[#This Row],[Cost]]/Table5[[#This Row],[SizTB]]</f>
        <v>47.998333333333335</v>
      </c>
      <c r="T41" s="12">
        <f>Table5[[#This Row],[Cost]]+((CompareWarrYrs-Table5[[#This Row],[Warnty]])*(Incremental_Warr_Yr*Table5[[#This Row],[Cost]]))</f>
        <v>287.99</v>
      </c>
      <c r="U41" s="7">
        <f>Table5[[#This Row],[$+Warr]]/Table5[[#This Row],[SizTB]]</f>
        <v>47.998333333333335</v>
      </c>
      <c r="V41" s="11">
        <f>Table5[[#This Row],[$PerTB]]/CompareWarrYrs</f>
        <v>9.5996666666666677</v>
      </c>
      <c r="W41" s="8"/>
      <c r="X41" s="48">
        <f>(((Table5[[#This Row],[Watts Active]]*Power_On_Hours_Year/1000)*Active_Duty_Cycle)+((Table5[[#This Row],[Watts Idle]]*Power_On_Hours_Year/1000)*(100%-Active_Duty_Cycle)))*CostPerKWH</f>
        <v>8.0206704000000002</v>
      </c>
      <c r="Y41" s="49">
        <f>Table5[[#This Row],[Energy$year]]/Table5[[#This Row],[SizTB]]</f>
        <v>1.3367784</v>
      </c>
    </row>
    <row r="42" spans="1:26">
      <c r="A42" s="1">
        <v>42961</v>
      </c>
      <c r="B42" t="s">
        <v>10</v>
      </c>
      <c r="C42" t="s">
        <v>76</v>
      </c>
      <c r="D42" s="44" t="s">
        <v>65</v>
      </c>
      <c r="E42">
        <v>7200</v>
      </c>
      <c r="F42" s="5">
        <v>8</v>
      </c>
      <c r="G42" s="2">
        <f>(Table5[[#This Row],[RPM]]/5400-1)</f>
        <v>0.33333333333333326</v>
      </c>
      <c r="H42" s="62">
        <v>237</v>
      </c>
      <c r="I42">
        <v>5</v>
      </c>
      <c r="J42" s="66">
        <v>600000</v>
      </c>
      <c r="K42">
        <v>550</v>
      </c>
      <c r="L42" s="66">
        <v>2500000</v>
      </c>
      <c r="M42" s="63">
        <v>1000000000000000</v>
      </c>
      <c r="N42" s="19">
        <v>26.21</v>
      </c>
      <c r="O42" s="6">
        <v>8.3800000000000008</v>
      </c>
      <c r="P42" s="15">
        <v>4.8</v>
      </c>
      <c r="Q42" s="6">
        <v>0.8</v>
      </c>
      <c r="R42" s="14">
        <v>350.99</v>
      </c>
      <c r="S42" s="11">
        <f>Table5[[#This Row],[Cost]]/Table5[[#This Row],[SizTB]]</f>
        <v>43.873750000000001</v>
      </c>
      <c r="T42" s="12">
        <f>Table5[[#This Row],[Cost]]+((CompareWarrYrs-Table5[[#This Row],[Warnty]])*(Incremental_Warr_Yr*Table5[[#This Row],[Cost]]))</f>
        <v>350.99</v>
      </c>
      <c r="U42" s="7">
        <f>Table5[[#This Row],[$+Warr]]/Table5[[#This Row],[SizTB]]</f>
        <v>43.873750000000001</v>
      </c>
      <c r="V42" s="11">
        <f>Table5[[#This Row],[$PerTB]]/CompareWarrYrs</f>
        <v>8.7747500000000009</v>
      </c>
      <c r="W42" s="8"/>
      <c r="X42" s="48">
        <f>(((Table5[[#This Row],[Watts Active]]*Power_On_Hours_Year/1000)*Active_Duty_Cycle)+((Table5[[#This Row],[Watts Idle]]*Power_On_Hours_Year/1000)*(100%-Active_Duty_Cycle)))*CostPerKWH</f>
        <v>6.0439915200000005</v>
      </c>
      <c r="Y42" s="49">
        <f>Table5[[#This Row],[Energy$year]]/Table5[[#This Row],[SizTB]]</f>
        <v>0.75549894000000006</v>
      </c>
      <c r="Z42" t="s">
        <v>47</v>
      </c>
    </row>
    <row r="43" spans="1:26">
      <c r="A43" s="1">
        <v>42961</v>
      </c>
      <c r="B43" t="s">
        <v>10</v>
      </c>
      <c r="C43" t="s">
        <v>76</v>
      </c>
      <c r="D43" s="44" t="s">
        <v>65</v>
      </c>
      <c r="E43">
        <v>7200</v>
      </c>
      <c r="F43" s="5">
        <v>10</v>
      </c>
      <c r="G43" s="2">
        <f>(Table5[[#This Row],[RPM]]/5400-1)</f>
        <v>0.33333333333333326</v>
      </c>
      <c r="H43" s="62">
        <v>237</v>
      </c>
      <c r="I43">
        <v>5</v>
      </c>
      <c r="J43" s="66">
        <v>600000</v>
      </c>
      <c r="K43">
        <v>550</v>
      </c>
      <c r="L43" s="66">
        <v>2500000</v>
      </c>
      <c r="M43" s="63">
        <v>1000000000000000</v>
      </c>
      <c r="N43" s="19">
        <f>0.58*5+1.94*12</f>
        <v>26.18</v>
      </c>
      <c r="O43" s="6">
        <v>8.3699999999999992</v>
      </c>
      <c r="P43" s="15">
        <v>4.42</v>
      </c>
      <c r="Q43" s="6">
        <v>0.8</v>
      </c>
      <c r="R43" s="14">
        <v>393.49</v>
      </c>
      <c r="S43" s="11">
        <f>Table5[[#This Row],[Cost]]/Table5[[#This Row],[SizTB]]</f>
        <v>39.349000000000004</v>
      </c>
      <c r="T43" s="12">
        <f>Table5[[#This Row],[Cost]]+((CompareWarrYrs-Table5[[#This Row],[Warnty]])*(Incremental_Warr_Yr*Table5[[#This Row],[Cost]]))</f>
        <v>393.49</v>
      </c>
      <c r="U43" s="7">
        <f>Table5[[#This Row],[$+Warr]]/Table5[[#This Row],[SizTB]]</f>
        <v>39.349000000000004</v>
      </c>
      <c r="V43" s="11">
        <f>Table5[[#This Row],[$PerTB]]/CompareWarrYrs</f>
        <v>7.8698000000000006</v>
      </c>
      <c r="W43" s="8"/>
      <c r="X43" s="48">
        <f>(((Table5[[#This Row],[Watts Active]]*Power_On_Hours_Year/1000)*Active_Duty_Cycle)+((Table5[[#This Row],[Watts Idle]]*Power_On_Hours_Year/1000)*(100%-Active_Duty_Cycle)))*CostPerKWH</f>
        <v>5.7087012000000001</v>
      </c>
      <c r="Y43" s="49">
        <f>Table5[[#This Row],[Energy$year]]/Table5[[#This Row],[SizTB]]</f>
        <v>0.57087012000000004</v>
      </c>
      <c r="Z43" t="s">
        <v>47</v>
      </c>
    </row>
    <row r="44" spans="1:26">
      <c r="A44" s="1">
        <v>42961</v>
      </c>
      <c r="B44" t="s">
        <v>10</v>
      </c>
      <c r="C44" t="s">
        <v>76</v>
      </c>
      <c r="D44" s="44" t="s">
        <v>65</v>
      </c>
      <c r="E44">
        <v>7200</v>
      </c>
      <c r="F44" s="5">
        <v>12</v>
      </c>
      <c r="G44" s="2">
        <f>(Table5[[#This Row],[RPM]]/5400-1)</f>
        <v>0.33333333333333326</v>
      </c>
      <c r="H44" s="62">
        <v>261</v>
      </c>
      <c r="I44">
        <v>5</v>
      </c>
      <c r="J44" s="66">
        <v>600000</v>
      </c>
      <c r="K44">
        <v>550</v>
      </c>
      <c r="L44" s="66">
        <v>2500000</v>
      </c>
      <c r="M44" s="63">
        <v>1000000000000000</v>
      </c>
      <c r="N44" s="19">
        <f>0.914*5+1.729*12</f>
        <v>25.318000000000001</v>
      </c>
      <c r="O44" s="6">
        <v>10.39</v>
      </c>
      <c r="P44" s="15">
        <v>5.05</v>
      </c>
      <c r="Q44" s="6">
        <v>1.1499999999999999</v>
      </c>
      <c r="R44" s="14"/>
      <c r="S44" s="11">
        <f>Table5[[#This Row],[Cost]]/Table5[[#This Row],[SizTB]]</f>
        <v>0</v>
      </c>
      <c r="T44" s="12">
        <f>Table5[[#This Row],[Cost]]+((CompareWarrYrs-Table5[[#This Row],[Warnty]])*(Incremental_Warr_Yr*Table5[[#This Row],[Cost]]))</f>
        <v>0</v>
      </c>
      <c r="U44" s="7">
        <f>Table5[[#This Row],[$+Warr]]/Table5[[#This Row],[SizTB]]</f>
        <v>0</v>
      </c>
      <c r="V44" s="11">
        <f>Table5[[#This Row],[$PerTB]]/CompareWarrYrs</f>
        <v>0</v>
      </c>
      <c r="W44" s="8"/>
      <c r="X44" s="48">
        <f>(((Table5[[#This Row],[Watts Active]]*Power_On_Hours_Year/1000)*Active_Duty_Cycle)+((Table5[[#This Row],[Watts Idle]]*Power_On_Hours_Year/1000)*(100%-Active_Duty_Cycle)))*CostPerKWH</f>
        <v>6.7036149599999995</v>
      </c>
      <c r="Y44" s="49">
        <f>Table5[[#This Row],[Energy$year]]/Table5[[#This Row],[SizTB]]</f>
        <v>0.55863457999999999</v>
      </c>
      <c r="Z44" t="s">
        <v>47</v>
      </c>
    </row>
    <row r="45" spans="1:26">
      <c r="A45" s="1">
        <v>42961</v>
      </c>
      <c r="B45" t="s">
        <v>10</v>
      </c>
      <c r="C45" t="s">
        <v>38</v>
      </c>
      <c r="D45" s="44" t="s">
        <v>65</v>
      </c>
      <c r="E45">
        <v>7200</v>
      </c>
      <c r="F45" s="5">
        <v>1</v>
      </c>
      <c r="G45" s="2">
        <f>(Table5[[#This Row],[RPM]]/5400-1)</f>
        <v>0.33333333333333326</v>
      </c>
      <c r="H45" s="62">
        <v>136</v>
      </c>
      <c r="I45">
        <v>5</v>
      </c>
      <c r="J45" s="66">
        <v>300000</v>
      </c>
      <c r="K45">
        <v>550</v>
      </c>
      <c r="L45" s="66">
        <v>2000000</v>
      </c>
      <c r="M45" s="63">
        <v>1000000000000000</v>
      </c>
      <c r="N45" s="19">
        <f>0.5*5+0.7*12</f>
        <v>10.899999999999999</v>
      </c>
      <c r="O45" s="6">
        <v>4.74</v>
      </c>
      <c r="P45" s="16">
        <v>3.51</v>
      </c>
      <c r="Q45" s="6">
        <v>1.1399999999999999</v>
      </c>
      <c r="R45" s="14">
        <v>182.13</v>
      </c>
      <c r="S45" s="11">
        <f>Table5[[#This Row],[Cost]]/Table5[[#This Row],[SizTB]]</f>
        <v>182.13</v>
      </c>
      <c r="T45" s="12">
        <f>Table5[[#This Row],[Cost]]+((CompareWarrYrs-Table5[[#This Row],[Warnty]])*(Incremental_Warr_Yr*Table5[[#This Row],[Cost]]))</f>
        <v>182.13</v>
      </c>
      <c r="U45" s="7">
        <f>Table5[[#This Row],[$+Warr]]/Table5[[#This Row],[SizTB]]</f>
        <v>182.13</v>
      </c>
      <c r="V45" s="11">
        <f>Table5[[#This Row],[$PerTB]]/CompareWarrYrs</f>
        <v>36.426000000000002</v>
      </c>
      <c r="W45" s="8"/>
      <c r="X45" s="48">
        <f>(((Table5[[#This Row],[Watts Active]]*Power_On_Hours_Year/1000)*Active_Duty_Cycle)+((Table5[[#This Row],[Watts Idle]]*Power_On_Hours_Year/1000)*(100%-Active_Duty_Cycle)))*CostPerKWH</f>
        <v>4.1155243199999996</v>
      </c>
      <c r="Y45" s="49">
        <f>Table5[[#This Row],[Energy$year]]/Table5[[#This Row],[SizTB]]</f>
        <v>4.1155243199999996</v>
      </c>
    </row>
    <row r="46" spans="1:26">
      <c r="A46" s="1">
        <v>42961</v>
      </c>
      <c r="B46" t="s">
        <v>10</v>
      </c>
      <c r="C46" t="s">
        <v>38</v>
      </c>
      <c r="D46" s="44" t="s">
        <v>65</v>
      </c>
      <c r="E46">
        <v>7200</v>
      </c>
      <c r="F46" s="5">
        <v>2</v>
      </c>
      <c r="G46" s="2">
        <f>(Table5[[#This Row],[RPM]]/5400-1)</f>
        <v>0.33333333333333326</v>
      </c>
      <c r="H46" s="62">
        <v>136</v>
      </c>
      <c r="I46">
        <v>5</v>
      </c>
      <c r="J46" s="66">
        <v>300000</v>
      </c>
      <c r="K46">
        <v>550</v>
      </c>
      <c r="L46" s="66">
        <v>2000000</v>
      </c>
      <c r="M46" s="63">
        <v>1000000000000000</v>
      </c>
      <c r="N46" s="19">
        <f>0.5*5+0.7*12</f>
        <v>10.899999999999999</v>
      </c>
      <c r="O46" s="6">
        <v>5.22</v>
      </c>
      <c r="P46" s="16">
        <v>3.87</v>
      </c>
      <c r="Q46" s="6">
        <v>1.1399999999999999</v>
      </c>
      <c r="R46" s="14">
        <v>319.99</v>
      </c>
      <c r="S46" s="11">
        <f>Table5[[#This Row],[Cost]]/Table5[[#This Row],[SizTB]]</f>
        <v>159.995</v>
      </c>
      <c r="T46" s="12">
        <f>Table5[[#This Row],[Cost]]+((CompareWarrYrs-Table5[[#This Row],[Warnty]])*(Incremental_Warr_Yr*Table5[[#This Row],[Cost]]))</f>
        <v>319.99</v>
      </c>
      <c r="U46" s="7">
        <f>Table5[[#This Row],[$+Warr]]/Table5[[#This Row],[SizTB]]</f>
        <v>159.995</v>
      </c>
      <c r="V46" s="11">
        <f>Table5[[#This Row],[$PerTB]]/CompareWarrYrs</f>
        <v>31.999000000000002</v>
      </c>
      <c r="W46" s="8"/>
      <c r="X46" s="48">
        <f>(((Table5[[#This Row],[Watts Active]]*Power_On_Hours_Year/1000)*Active_Duty_Cycle)+((Table5[[#This Row],[Watts Idle]]*Power_On_Hours_Year/1000)*(100%-Active_Duty_Cycle)))*CostPerKWH</f>
        <v>4.5362808000000001</v>
      </c>
      <c r="Y46" s="49">
        <f>Table5[[#This Row],[Energy$year]]/Table5[[#This Row],[SizTB]]</f>
        <v>2.2681404000000001</v>
      </c>
    </row>
    <row r="47" spans="1:26">
      <c r="A47" s="1">
        <v>42948</v>
      </c>
      <c r="B47" t="s">
        <v>10</v>
      </c>
      <c r="C47" t="s">
        <v>54</v>
      </c>
      <c r="D47" s="44"/>
      <c r="E47">
        <v>7200</v>
      </c>
      <c r="F47" s="5">
        <v>1</v>
      </c>
      <c r="G47" s="2">
        <f>(Table5[[#This Row],[RPM]]/5400-1)</f>
        <v>0.33333333333333326</v>
      </c>
      <c r="H47" s="62"/>
      <c r="I47">
        <v>5</v>
      </c>
      <c r="J47" s="66"/>
      <c r="L47" s="66"/>
      <c r="M47" s="63"/>
      <c r="N47" s="19">
        <v>24</v>
      </c>
      <c r="O47" s="6">
        <v>5.9</v>
      </c>
      <c r="P47" s="6">
        <v>4.5</v>
      </c>
      <c r="Q47" s="6">
        <v>0.63</v>
      </c>
      <c r="R47" s="14">
        <v>69.989999999999995</v>
      </c>
      <c r="S47" s="11">
        <f>Table5[[#This Row],[Cost]]/Table5[[#This Row],[SizTB]]</f>
        <v>69.989999999999995</v>
      </c>
      <c r="T47" s="12">
        <f>Table5[[#This Row],[Cost]]+((CompareWarrYrs-Table5[[#This Row],[Warnty]])*(Incremental_Warr_Yr*Table5[[#This Row],[Cost]]))</f>
        <v>69.989999999999995</v>
      </c>
      <c r="U47" s="7">
        <f>Table5[[#This Row],[$+Warr]]/Table5[[#This Row],[SizTB]]</f>
        <v>69.989999999999995</v>
      </c>
      <c r="V47" s="11">
        <f>Table5[[#This Row],[$PerTB]]/CompareWarrYrs</f>
        <v>13.997999999999999</v>
      </c>
      <c r="W47" s="8"/>
      <c r="X47" s="48">
        <f>(((Table5[[#This Row],[Watts Active]]*Power_On_Hours_Year/1000)*Active_Duty_Cycle)+((Table5[[#This Row],[Watts Idle]]*Power_On_Hours_Year/1000)*(100%-Active_Duty_Cycle)))*CostPerKWH</f>
        <v>5.2375416000000001</v>
      </c>
      <c r="Y47" s="49">
        <f>Table5[[#This Row],[Energy$year]]/Table5[[#This Row],[SizTB]]</f>
        <v>5.2375416000000001</v>
      </c>
      <c r="Z47" t="s">
        <v>55</v>
      </c>
    </row>
    <row r="48" spans="1:26">
      <c r="A48" s="1">
        <v>42956</v>
      </c>
      <c r="B48" t="s">
        <v>10</v>
      </c>
      <c r="C48" t="s">
        <v>54</v>
      </c>
      <c r="D48" s="44"/>
      <c r="E48">
        <v>7200</v>
      </c>
      <c r="F48" s="5">
        <v>2</v>
      </c>
      <c r="G48" s="2">
        <f>(Table5[[#This Row],[RPM]]/5400-1)</f>
        <v>0.33333333333333326</v>
      </c>
      <c r="H48" s="62"/>
      <c r="I48">
        <v>5</v>
      </c>
      <c r="J48" s="66"/>
      <c r="L48" s="66"/>
      <c r="M48" s="63"/>
      <c r="N48" s="19">
        <v>24</v>
      </c>
      <c r="O48" s="6">
        <v>6.7</v>
      </c>
      <c r="P48" s="6">
        <v>3.36</v>
      </c>
      <c r="Q48" s="6">
        <v>0.75</v>
      </c>
      <c r="R48" s="14">
        <v>89.99</v>
      </c>
      <c r="S48" s="11">
        <f>Table5[[#This Row],[Cost]]/Table5[[#This Row],[SizTB]]</f>
        <v>44.994999999999997</v>
      </c>
      <c r="T48" s="12">
        <f>Table5[[#This Row],[Cost]]+((CompareWarrYrs-Table5[[#This Row],[Warnty]])*(Incremental_Warr_Yr*Table5[[#This Row],[Cost]]))</f>
        <v>89.99</v>
      </c>
      <c r="U48" s="7">
        <f>Table5[[#This Row],[$+Warr]]/Table5[[#This Row],[SizTB]]</f>
        <v>44.994999999999997</v>
      </c>
      <c r="V48" s="11">
        <f>Table5[[#This Row],[$PerTB]]/CompareWarrYrs</f>
        <v>8.9989999999999988</v>
      </c>
      <c r="W48" s="8"/>
      <c r="X48" s="48">
        <f>(((Table5[[#This Row],[Watts Active]]*Power_On_Hours_Year/1000)*Active_Duty_Cycle)+((Table5[[#This Row],[Watts Idle]]*Power_On_Hours_Year/1000)*(100%-Active_Duty_Cycle)))*CostPerKWH</f>
        <v>4.4135601600000003</v>
      </c>
      <c r="Y48" s="49">
        <f>Table5[[#This Row],[Energy$year]]/Table5[[#This Row],[SizTB]]</f>
        <v>2.2067800800000001</v>
      </c>
      <c r="Z48" t="s">
        <v>55</v>
      </c>
    </row>
    <row r="49" spans="1:26">
      <c r="A49" s="1">
        <v>42946</v>
      </c>
      <c r="B49" t="s">
        <v>10</v>
      </c>
      <c r="C49" t="s">
        <v>56</v>
      </c>
      <c r="D49" s="44"/>
      <c r="E49">
        <v>5400</v>
      </c>
      <c r="F49" s="5">
        <v>1</v>
      </c>
      <c r="G49" s="2">
        <f>(Table5[[#This Row],[RPM]]/5400-1)</f>
        <v>0</v>
      </c>
      <c r="H49" s="62"/>
      <c r="I49">
        <v>5</v>
      </c>
      <c r="J49" s="66"/>
      <c r="L49" s="66"/>
      <c r="M49" s="63"/>
      <c r="N49" s="19">
        <v>5</v>
      </c>
      <c r="O49" s="6">
        <v>1.7</v>
      </c>
      <c r="P49" s="6">
        <v>1.45</v>
      </c>
      <c r="Q49" s="6"/>
      <c r="R49" s="14">
        <v>54.99</v>
      </c>
      <c r="S49" s="11">
        <f>Table5[[#This Row],[Cost]]/Table5[[#This Row],[SizTB]]</f>
        <v>54.99</v>
      </c>
      <c r="T49" s="12">
        <f>Table5[[#This Row],[Cost]]+((CompareWarrYrs-Table5[[#This Row],[Warnty]])*(Incremental_Warr_Yr*Table5[[#This Row],[Cost]]))</f>
        <v>54.99</v>
      </c>
      <c r="U49" s="7">
        <f>Table5[[#This Row],[$+Warr]]/Table5[[#This Row],[SizTB]]</f>
        <v>54.99</v>
      </c>
      <c r="V49" s="11">
        <f>Table5[[#This Row],[$PerTB]]/CompareWarrYrs</f>
        <v>10.998000000000001</v>
      </c>
      <c r="W49" s="8"/>
      <c r="X49" s="48">
        <f>(((Table5[[#This Row],[Watts Active]]*Power_On_Hours_Year/1000)*Active_Duty_Cycle)+((Table5[[#This Row],[Watts Idle]]*Power_On_Hours_Year/1000)*(100%-Active_Duty_Cycle)))*CostPerKWH</f>
        <v>1.64358</v>
      </c>
      <c r="Y49" s="49">
        <f>Table5[[#This Row],[Energy$year]]/Table5[[#This Row],[SizTB]]</f>
        <v>1.64358</v>
      </c>
      <c r="Z49" t="s">
        <v>55</v>
      </c>
    </row>
    <row r="50" spans="1:26">
      <c r="A50" s="1">
        <v>42953</v>
      </c>
      <c r="B50" t="s">
        <v>10</v>
      </c>
      <c r="C50" t="s">
        <v>56</v>
      </c>
      <c r="D50" s="44"/>
      <c r="E50">
        <v>5400</v>
      </c>
      <c r="F50" s="5">
        <v>2</v>
      </c>
      <c r="G50" s="2">
        <f>(Table5[[#This Row],[RPM]]/5400-1)</f>
        <v>0</v>
      </c>
      <c r="H50" s="62"/>
      <c r="I50">
        <v>5</v>
      </c>
      <c r="J50" s="66"/>
      <c r="L50" s="66"/>
      <c r="M50" s="63"/>
      <c r="N50" s="19">
        <v>5</v>
      </c>
      <c r="O50" s="6">
        <v>1.8</v>
      </c>
      <c r="P50" s="6">
        <v>1.5</v>
      </c>
      <c r="Q50" s="6"/>
      <c r="R50" s="14">
        <v>79.989999999999995</v>
      </c>
      <c r="S50" s="11">
        <f>Table5[[#This Row],[Cost]]/Table5[[#This Row],[SizTB]]</f>
        <v>39.994999999999997</v>
      </c>
      <c r="T50" s="12">
        <f>Table5[[#This Row],[Cost]]+((CompareWarrYrs-Table5[[#This Row],[Warnty]])*(Incremental_Warr_Yr*Table5[[#This Row],[Cost]]))</f>
        <v>79.989999999999995</v>
      </c>
      <c r="U50" s="7">
        <f>Table5[[#This Row],[$+Warr]]/Table5[[#This Row],[SizTB]]</f>
        <v>39.994999999999997</v>
      </c>
      <c r="V50" s="11">
        <f>Table5[[#This Row],[$PerTB]]/CompareWarrYrs</f>
        <v>7.9989999999999997</v>
      </c>
      <c r="W50" s="8"/>
      <c r="X50" s="48">
        <f>(((Table5[[#This Row],[Watts Active]]*Power_On_Hours_Year/1000)*Active_Duty_Cycle)+((Table5[[#This Row],[Watts Idle]]*Power_On_Hours_Year/1000)*(100%-Active_Duty_Cycle)))*CostPerKWH</f>
        <v>1.7093232</v>
      </c>
      <c r="Y50" s="49">
        <f>Table5[[#This Row],[Energy$year]]/Table5[[#This Row],[SizTB]]</f>
        <v>0.85466160000000002</v>
      </c>
      <c r="Z50" t="s">
        <v>55</v>
      </c>
    </row>
    <row r="51" spans="1:26">
      <c r="A51" s="1">
        <v>42842</v>
      </c>
      <c r="B51" t="s">
        <v>10</v>
      </c>
      <c r="C51" t="s">
        <v>13</v>
      </c>
      <c r="D51" s="44" t="s">
        <v>65</v>
      </c>
      <c r="E51">
        <v>5900</v>
      </c>
      <c r="F51" s="5">
        <v>1</v>
      </c>
      <c r="G51" s="2">
        <f>(Table5[[#This Row],[RPM]]/5400-1)</f>
        <v>9.259259259259256E-2</v>
      </c>
      <c r="H51" s="62"/>
      <c r="I51">
        <v>3</v>
      </c>
      <c r="J51" s="66"/>
      <c r="L51" s="66"/>
      <c r="M51" s="63"/>
      <c r="N51" s="19">
        <f>12*1.2</f>
        <v>14.399999999999999</v>
      </c>
      <c r="O51" s="6">
        <v>3.6</v>
      </c>
      <c r="P51" s="6">
        <v>2.5</v>
      </c>
      <c r="Q51" s="6">
        <v>0.8</v>
      </c>
      <c r="R51" s="14">
        <v>64.489999999999995</v>
      </c>
      <c r="S51" s="11">
        <f>Table5[[#This Row],[Cost]]/Table5[[#This Row],[SizTB]]</f>
        <v>64.489999999999995</v>
      </c>
      <c r="T51" s="12">
        <f>Table5[[#This Row],[Cost]]+((CompareWarrYrs-Table5[[#This Row],[Warnty]])*(Incremental_Warr_Yr*Table5[[#This Row],[Cost]]))</f>
        <v>78.677799999999991</v>
      </c>
      <c r="U51" s="7">
        <f>Table5[[#This Row],[$+Warr]]/Table5[[#This Row],[SizTB]]</f>
        <v>78.677799999999991</v>
      </c>
      <c r="V51" s="11">
        <f>Table5[[#This Row],[$PerTB]]/CompareWarrYrs</f>
        <v>15.735559999999998</v>
      </c>
      <c r="W51" s="8"/>
      <c r="X51" s="48">
        <f>(((Table5[[#This Row],[Watts Active]]*Power_On_Hours_Year/1000)*Active_Duty_Cycle)+((Table5[[#This Row],[Watts Idle]]*Power_On_Hours_Year/1000)*(100%-Active_Duty_Cycle)))*CostPerKWH</f>
        <v>2.9803584000000001</v>
      </c>
      <c r="Y51" s="49">
        <f>Table5[[#This Row],[Energy$year]]/Table5[[#This Row],[SizTB]]</f>
        <v>2.9803584000000001</v>
      </c>
      <c r="Z51" t="s">
        <v>55</v>
      </c>
    </row>
    <row r="52" spans="1:26">
      <c r="A52" s="1">
        <v>42949</v>
      </c>
      <c r="B52" t="s">
        <v>10</v>
      </c>
      <c r="C52" t="s">
        <v>13</v>
      </c>
      <c r="D52" s="44" t="s">
        <v>65</v>
      </c>
      <c r="E52">
        <v>5900</v>
      </c>
      <c r="F52" s="5">
        <v>2</v>
      </c>
      <c r="G52" s="2">
        <f>(Table5[[#This Row],[RPM]]/5400-1)</f>
        <v>9.259259259259256E-2</v>
      </c>
      <c r="H52" s="62"/>
      <c r="I52">
        <v>3</v>
      </c>
      <c r="J52" s="66"/>
      <c r="L52" s="66"/>
      <c r="M52" s="63"/>
      <c r="N52" s="19">
        <f>12*2</f>
        <v>24</v>
      </c>
      <c r="O52" s="6">
        <v>5</v>
      </c>
      <c r="P52" s="6">
        <v>3.7</v>
      </c>
      <c r="Q52" s="6">
        <v>0.8</v>
      </c>
      <c r="R52" s="14">
        <v>74.989999999999995</v>
      </c>
      <c r="S52" s="11">
        <f>Table5[[#This Row],[Cost]]/Table5[[#This Row],[SizTB]]</f>
        <v>37.494999999999997</v>
      </c>
      <c r="T52" s="12">
        <f>Table5[[#This Row],[Cost]]+((CompareWarrYrs-Table5[[#This Row],[Warnty]])*(Incremental_Warr_Yr*Table5[[#This Row],[Cost]]))</f>
        <v>91.487799999999993</v>
      </c>
      <c r="U52" s="7">
        <f>Table5[[#This Row],[$+Warr]]/Table5[[#This Row],[SizTB]]</f>
        <v>45.743899999999996</v>
      </c>
      <c r="V52" s="11">
        <f>Table5[[#This Row],[$PerTB]]/CompareWarrYrs</f>
        <v>9.1487799999999986</v>
      </c>
      <c r="W52" s="8"/>
      <c r="X52" s="48">
        <f>(((Table5[[#This Row],[Watts Active]]*Power_On_Hours_Year/1000)*Active_Duty_Cycle)+((Table5[[#This Row],[Watts Idle]]*Power_On_Hours_Year/1000)*(100%-Active_Duty_Cycle)))*CostPerKWH</f>
        <v>4.3390512000000001</v>
      </c>
      <c r="Y52" s="49">
        <f>Table5[[#This Row],[Energy$year]]/Table5[[#This Row],[SizTB]]</f>
        <v>2.1695256000000001</v>
      </c>
    </row>
    <row r="53" spans="1:26">
      <c r="A53" s="1">
        <v>42842</v>
      </c>
      <c r="B53" t="s">
        <v>10</v>
      </c>
      <c r="C53" t="s">
        <v>13</v>
      </c>
      <c r="D53" s="44" t="s">
        <v>65</v>
      </c>
      <c r="E53">
        <v>5900</v>
      </c>
      <c r="F53" s="5">
        <v>3</v>
      </c>
      <c r="G53" s="2">
        <f>(Table5[[#This Row],[RPM]]/5400-1)</f>
        <v>9.259259259259256E-2</v>
      </c>
      <c r="H53" s="62"/>
      <c r="I53">
        <v>3</v>
      </c>
      <c r="J53" s="66"/>
      <c r="L53" s="66"/>
      <c r="M53" s="63"/>
      <c r="N53" s="19">
        <f>12*2</f>
        <v>24</v>
      </c>
      <c r="O53" s="6">
        <v>5.6</v>
      </c>
      <c r="P53" s="6">
        <v>4.9000000000000004</v>
      </c>
      <c r="Q53" s="6">
        <v>0.6</v>
      </c>
      <c r="R53" s="14">
        <v>109</v>
      </c>
      <c r="S53" s="11">
        <f>Table5[[#This Row],[Cost]]/Table5[[#This Row],[SizTB]]</f>
        <v>36.333333333333336</v>
      </c>
      <c r="T53" s="12">
        <f>Table5[[#This Row],[Cost]]+((CompareWarrYrs-Table5[[#This Row],[Warnty]])*(Incremental_Warr_Yr*Table5[[#This Row],[Cost]]))</f>
        <v>132.97999999999999</v>
      </c>
      <c r="U53" s="7">
        <f>Table5[[#This Row],[$+Warr]]/Table5[[#This Row],[SizTB]]</f>
        <v>44.326666666666661</v>
      </c>
      <c r="V53" s="11">
        <f>Table5[[#This Row],[$PerTB]]/CompareWarrYrs</f>
        <v>8.8653333333333322</v>
      </c>
      <c r="W53" s="8"/>
      <c r="X53" s="48">
        <f>(((Table5[[#This Row],[Watts Active]]*Power_On_Hours_Year/1000)*Active_Duty_Cycle)+((Table5[[#This Row],[Watts Idle]]*Power_On_Hours_Year/1000)*(100%-Active_Duty_Cycle)))*CostPerKWH</f>
        <v>5.5224288000000001</v>
      </c>
      <c r="Y53" s="49">
        <f>Table5[[#This Row],[Energy$year]]/Table5[[#This Row],[SizTB]]</f>
        <v>1.8408096</v>
      </c>
    </row>
    <row r="54" spans="1:26">
      <c r="A54" s="1">
        <v>42948</v>
      </c>
      <c r="B54" t="s">
        <v>10</v>
      </c>
      <c r="C54" t="s">
        <v>13</v>
      </c>
      <c r="D54" s="44" t="s">
        <v>65</v>
      </c>
      <c r="E54">
        <v>5900</v>
      </c>
      <c r="F54" s="5">
        <v>4</v>
      </c>
      <c r="G54" s="2">
        <f>(Table5[[#This Row],[RPM]]/5400-1)</f>
        <v>9.259259259259256E-2</v>
      </c>
      <c r="H54" s="62"/>
      <c r="I54">
        <v>3</v>
      </c>
      <c r="J54" s="66"/>
      <c r="L54" s="66"/>
      <c r="M54" s="63"/>
      <c r="N54" s="19">
        <f>12*2</f>
        <v>24</v>
      </c>
      <c r="O54" s="6">
        <v>4.8</v>
      </c>
      <c r="P54" s="6">
        <v>3.95</v>
      </c>
      <c r="Q54" s="6">
        <v>0.5</v>
      </c>
      <c r="R54" s="14">
        <v>114.99</v>
      </c>
      <c r="S54" s="11">
        <f>Table5[[#This Row],[Cost]]/Table5[[#This Row],[SizTB]]</f>
        <v>28.747499999999999</v>
      </c>
      <c r="T54" s="12">
        <f>Table5[[#This Row],[Cost]]+((CompareWarrYrs-Table5[[#This Row],[Warnty]])*(Incremental_Warr_Yr*Table5[[#This Row],[Cost]]))</f>
        <v>140.2878</v>
      </c>
      <c r="U54" s="7">
        <f>Table5[[#This Row],[$+Warr]]/Table5[[#This Row],[SizTB]]</f>
        <v>35.071950000000001</v>
      </c>
      <c r="V54" s="11">
        <f>Table5[[#This Row],[$PerTB]]/CompareWarrYrs</f>
        <v>7.0143900000000006</v>
      </c>
      <c r="W54" s="8"/>
      <c r="X54" s="48">
        <f>(((Table5[[#This Row],[Watts Active]]*Power_On_Hours_Year/1000)*Active_Duty_Cycle)+((Table5[[#This Row],[Watts Idle]]*Power_On_Hours_Year/1000)*(100%-Active_Duty_Cycle)))*CostPerKWH</f>
        <v>4.5143664000000001</v>
      </c>
      <c r="Y54" s="49">
        <f>Table5[[#This Row],[Energy$year]]/Table5[[#This Row],[SizTB]]</f>
        <v>1.1285916</v>
      </c>
    </row>
    <row r="55" spans="1:26">
      <c r="A55" s="1">
        <v>42893</v>
      </c>
      <c r="B55" t="s">
        <v>10</v>
      </c>
      <c r="C55" t="s">
        <v>13</v>
      </c>
      <c r="D55" s="44" t="s">
        <v>65</v>
      </c>
      <c r="E55">
        <v>7200</v>
      </c>
      <c r="F55" s="5">
        <v>6</v>
      </c>
      <c r="G55" s="2">
        <f>(Table5[[#This Row],[RPM]]/5400-1)</f>
        <v>0.33333333333333326</v>
      </c>
      <c r="H55" s="62"/>
      <c r="I55">
        <v>3</v>
      </c>
      <c r="J55" s="66"/>
      <c r="L55" s="66"/>
      <c r="M55" s="63"/>
      <c r="N55" s="19">
        <f>12*2</f>
        <v>24</v>
      </c>
      <c r="O55" s="6">
        <v>9</v>
      </c>
      <c r="P55" s="6">
        <v>7.2</v>
      </c>
      <c r="Q55" s="6">
        <v>0.6</v>
      </c>
      <c r="R55" s="14">
        <v>189.99</v>
      </c>
      <c r="S55" s="11">
        <f>Table5[[#This Row],[Cost]]/Table5[[#This Row],[SizTB]]</f>
        <v>31.665000000000003</v>
      </c>
      <c r="T55" s="12">
        <f>Table5[[#This Row],[Cost]]+((CompareWarrYrs-Table5[[#This Row],[Warnty]])*(Incremental_Warr_Yr*Table5[[#This Row],[Cost]]))</f>
        <v>231.7878</v>
      </c>
      <c r="U55" s="7">
        <f>Table5[[#This Row],[$+Warr]]/Table5[[#This Row],[SizTB]]</f>
        <v>38.631300000000003</v>
      </c>
      <c r="V55" s="11">
        <f>Table5[[#This Row],[$PerTB]]/CompareWarrYrs</f>
        <v>7.7262600000000008</v>
      </c>
      <c r="W55" s="8"/>
      <c r="X55" s="48">
        <f>(((Table5[[#This Row],[Watts Active]]*Power_On_Hours_Year/1000)*Active_Duty_Cycle)+((Table5[[#This Row],[Watts Idle]]*Power_On_Hours_Year/1000)*(100%-Active_Duty_Cycle)))*CostPerKWH</f>
        <v>8.2836432000000002</v>
      </c>
      <c r="Y55" s="49">
        <f>Table5[[#This Row],[Energy$year]]/Table5[[#This Row],[SizTB]]</f>
        <v>1.3806072</v>
      </c>
    </row>
    <row r="56" spans="1:26">
      <c r="A56" s="1">
        <v>42948</v>
      </c>
      <c r="B56" t="s">
        <v>10</v>
      </c>
      <c r="C56" t="s">
        <v>13</v>
      </c>
      <c r="D56" s="44" t="s">
        <v>65</v>
      </c>
      <c r="E56">
        <v>7200</v>
      </c>
      <c r="F56" s="5">
        <v>8</v>
      </c>
      <c r="G56" s="2">
        <f>(Table5[[#This Row],[RPM]]/5400-1)</f>
        <v>0.33333333333333326</v>
      </c>
      <c r="H56" s="62"/>
      <c r="I56">
        <v>3</v>
      </c>
      <c r="J56" s="66"/>
      <c r="L56" s="66"/>
      <c r="M56" s="63"/>
      <c r="N56" s="19">
        <f>12*2</f>
        <v>24</v>
      </c>
      <c r="O56" s="6">
        <v>9</v>
      </c>
      <c r="P56" s="6">
        <v>7.2</v>
      </c>
      <c r="Q56" s="6">
        <v>0.6</v>
      </c>
      <c r="R56" s="14">
        <f>264.99-25</f>
        <v>239.99</v>
      </c>
      <c r="S56" s="11">
        <f>Table5[[#This Row],[Cost]]/Table5[[#This Row],[SizTB]]</f>
        <v>29.998750000000001</v>
      </c>
      <c r="T56" s="12">
        <f>Table5[[#This Row],[Cost]]+((CompareWarrYrs-Table5[[#This Row],[Warnty]])*(Incremental_Warr_Yr*Table5[[#This Row],[Cost]]))</f>
        <v>292.7878</v>
      </c>
      <c r="U56" s="7">
        <f>Table5[[#This Row],[$+Warr]]/Table5[[#This Row],[SizTB]]</f>
        <v>36.598475000000001</v>
      </c>
      <c r="V56" s="11">
        <f>Table5[[#This Row],[$PerTB]]/CompareWarrYrs</f>
        <v>7.3196950000000003</v>
      </c>
      <c r="W56" s="8"/>
      <c r="X56" s="48">
        <f>(((Table5[[#This Row],[Watts Active]]*Power_On_Hours_Year/1000)*Active_Duty_Cycle)+((Table5[[#This Row],[Watts Idle]]*Power_On_Hours_Year/1000)*(100%-Active_Duty_Cycle)))*CostPerKWH</f>
        <v>8.2836432000000002</v>
      </c>
      <c r="Y56" s="49">
        <f>Table5[[#This Row],[Energy$year]]/Table5[[#This Row],[SizTB]]</f>
        <v>1.0354554</v>
      </c>
    </row>
    <row r="57" spans="1:26">
      <c r="A57" s="1">
        <v>42960</v>
      </c>
      <c r="B57" t="s">
        <v>10</v>
      </c>
      <c r="C57" t="s">
        <v>13</v>
      </c>
      <c r="D57" s="44" t="s">
        <v>65</v>
      </c>
      <c r="E57">
        <v>7200</v>
      </c>
      <c r="F57" s="5">
        <v>10</v>
      </c>
      <c r="G57" s="2">
        <f>(Table5[[#This Row],[RPM]]/5400-1)</f>
        <v>0.33333333333333326</v>
      </c>
      <c r="H57" s="62"/>
      <c r="I57">
        <v>3</v>
      </c>
      <c r="J57" s="66"/>
      <c r="L57" s="66"/>
      <c r="M57" s="63"/>
      <c r="N57" s="19">
        <f>12*1.8</f>
        <v>21.6</v>
      </c>
      <c r="O57" s="6">
        <v>6.8</v>
      </c>
      <c r="P57" s="6">
        <v>4.42</v>
      </c>
      <c r="Q57" s="6">
        <v>0.8</v>
      </c>
      <c r="R57" s="14">
        <v>338.5</v>
      </c>
      <c r="S57" s="11">
        <f>Table5[[#This Row],[Cost]]/Table5[[#This Row],[SizTB]]</f>
        <v>33.85</v>
      </c>
      <c r="T57" s="12">
        <f>Table5[[#This Row],[Cost]]+((CompareWarrYrs-Table5[[#This Row],[Warnty]])*(Incremental_Warr_Yr*Table5[[#This Row],[Cost]]))</f>
        <v>412.97</v>
      </c>
      <c r="U57" s="7">
        <f>Table5[[#This Row],[$+Warr]]/Table5[[#This Row],[SizTB]]</f>
        <v>41.297000000000004</v>
      </c>
      <c r="V57" s="11">
        <f>Table5[[#This Row],[$PerTB]]/CompareWarrYrs</f>
        <v>8.2594000000000012</v>
      </c>
      <c r="W57" s="8"/>
      <c r="X57" s="48">
        <f>(((Table5[[#This Row],[Watts Active]]*Power_On_Hours_Year/1000)*Active_Duty_Cycle)+((Table5[[#This Row],[Watts Idle]]*Power_On_Hours_Year/1000)*(100%-Active_Duty_Cycle)))*CostPerKWH</f>
        <v>5.3646451200000005</v>
      </c>
      <c r="Y57" s="49">
        <f>Table5[[#This Row],[Energy$year]]/Table5[[#This Row],[SizTB]]</f>
        <v>0.536464512</v>
      </c>
    </row>
    <row r="58" spans="1:26">
      <c r="A58" s="1">
        <v>42842</v>
      </c>
      <c r="B58" t="s">
        <v>10</v>
      </c>
      <c r="C58" t="s">
        <v>17</v>
      </c>
      <c r="D58" s="44" t="s">
        <v>65</v>
      </c>
      <c r="E58">
        <v>7200</v>
      </c>
      <c r="F58" s="5">
        <v>2</v>
      </c>
      <c r="G58" s="2">
        <f>(Table5[[#This Row],[RPM]]/5400-1)</f>
        <v>0.33333333333333326</v>
      </c>
      <c r="H58" s="62"/>
      <c r="I58">
        <v>5</v>
      </c>
      <c r="J58" s="66"/>
      <c r="L58" s="66"/>
      <c r="M58" s="63"/>
      <c r="N58" s="19">
        <f>12*2</f>
        <v>24</v>
      </c>
      <c r="O58" s="6">
        <v>7.5</v>
      </c>
      <c r="P58" s="6">
        <v>4.5</v>
      </c>
      <c r="Q58" s="6">
        <v>0.8</v>
      </c>
      <c r="R58" s="14">
        <v>144.99</v>
      </c>
      <c r="S58" s="11">
        <f>Table5[[#This Row],[Cost]]/Table5[[#This Row],[SizTB]]</f>
        <v>72.495000000000005</v>
      </c>
      <c r="T58" s="12">
        <f>Table5[[#This Row],[Cost]]+((CompareWarrYrs-Table5[[#This Row],[Warnty]])*(Incremental_Warr_Yr*Table5[[#This Row],[Cost]]))</f>
        <v>144.99</v>
      </c>
      <c r="U58" s="7">
        <f>Table5[[#This Row],[$+Warr]]/Table5[[#This Row],[SizTB]]</f>
        <v>72.495000000000005</v>
      </c>
      <c r="V58" s="11">
        <f>Table5[[#This Row],[$PerTB]]/CompareWarrYrs</f>
        <v>14.499000000000001</v>
      </c>
      <c r="W58" s="8"/>
      <c r="X58" s="48">
        <f>(((Table5[[#This Row],[Watts Active]]*Power_On_Hours_Year/1000)*Active_Duty_Cycle)+((Table5[[#This Row],[Watts Idle]]*Power_On_Hours_Year/1000)*(100%-Active_Duty_Cycle)))*CostPerKWH</f>
        <v>5.5881720000000001</v>
      </c>
      <c r="Y58" s="51">
        <f>Table5[[#This Row],[Energy$year]]/Table5[[#This Row],[SizTB]]</f>
        <v>2.7940860000000001</v>
      </c>
    </row>
    <row r="59" spans="1:26">
      <c r="A59" s="1">
        <v>42842</v>
      </c>
      <c r="B59" t="s">
        <v>10</v>
      </c>
      <c r="C59" t="s">
        <v>17</v>
      </c>
      <c r="D59" s="44" t="s">
        <v>65</v>
      </c>
      <c r="E59">
        <v>7200</v>
      </c>
      <c r="F59" s="5">
        <v>4</v>
      </c>
      <c r="G59" s="2">
        <f>(Table5[[#This Row],[RPM]]/5400-1)</f>
        <v>0.33333333333333326</v>
      </c>
      <c r="H59" s="62"/>
      <c r="I59">
        <v>5</v>
      </c>
      <c r="J59" s="66"/>
      <c r="L59" s="66"/>
      <c r="M59" s="63"/>
      <c r="N59" s="19">
        <f>12*2</f>
        <v>24</v>
      </c>
      <c r="O59" s="6">
        <v>6.7</v>
      </c>
      <c r="P59" s="6">
        <v>6</v>
      </c>
      <c r="Q59" s="6">
        <v>0.6</v>
      </c>
      <c r="R59" s="14">
        <v>209.99</v>
      </c>
      <c r="S59" s="11">
        <f>Table5[[#This Row],[Cost]]/Table5[[#This Row],[SizTB]]</f>
        <v>52.497500000000002</v>
      </c>
      <c r="T59" s="12">
        <f>Table5[[#This Row],[Cost]]+((CompareWarrYrs-Table5[[#This Row],[Warnty]])*(Incremental_Warr_Yr*Table5[[#This Row],[Cost]]))</f>
        <v>209.99</v>
      </c>
      <c r="U59" s="7">
        <f>Table5[[#This Row],[$+Warr]]/Table5[[#This Row],[SizTB]]</f>
        <v>52.497500000000002</v>
      </c>
      <c r="V59" s="11">
        <f>Table5[[#This Row],[$PerTB]]/CompareWarrYrs</f>
        <v>10.499500000000001</v>
      </c>
      <c r="W59" s="8"/>
      <c r="X59" s="48">
        <f>(((Table5[[#This Row],[Watts Active]]*Power_On_Hours_Year/1000)*Active_Duty_Cycle)+((Table5[[#This Row],[Watts Idle]]*Power_On_Hours_Year/1000)*(100%-Active_Duty_Cycle)))*CostPerKWH</f>
        <v>6.7277208000000002</v>
      </c>
      <c r="Y59" s="51">
        <f>Table5[[#This Row],[Energy$year]]/Table5[[#This Row],[SizTB]]</f>
        <v>1.6819302</v>
      </c>
    </row>
    <row r="60" spans="1:26">
      <c r="A60" s="1">
        <v>42842</v>
      </c>
      <c r="B60" t="s">
        <v>10</v>
      </c>
      <c r="C60" t="s">
        <v>17</v>
      </c>
      <c r="D60" s="44" t="s">
        <v>65</v>
      </c>
      <c r="E60">
        <v>7200</v>
      </c>
      <c r="F60" s="5">
        <v>6</v>
      </c>
      <c r="G60" s="2">
        <f>(Table5[[#This Row],[RPM]]/5400-1)</f>
        <v>0.33333333333333326</v>
      </c>
      <c r="H60" s="62"/>
      <c r="I60">
        <v>5</v>
      </c>
      <c r="J60" s="66"/>
      <c r="L60" s="66"/>
      <c r="M60" s="63"/>
      <c r="N60" s="19">
        <f>12*2</f>
        <v>24</v>
      </c>
      <c r="O60" s="6">
        <v>9</v>
      </c>
      <c r="P60" s="6">
        <v>7.6</v>
      </c>
      <c r="Q60" s="6">
        <v>0.6</v>
      </c>
      <c r="R60" s="14">
        <v>249.99</v>
      </c>
      <c r="S60" s="11">
        <f>Table5[[#This Row],[Cost]]/Table5[[#This Row],[SizTB]]</f>
        <v>41.664999999999999</v>
      </c>
      <c r="T60" s="12">
        <f>Table5[[#This Row],[Cost]]+((CompareWarrYrs-Table5[[#This Row],[Warnty]])*(Incremental_Warr_Yr*Table5[[#This Row],[Cost]]))</f>
        <v>249.99</v>
      </c>
      <c r="U60" s="7">
        <f>Table5[[#This Row],[$+Warr]]/Table5[[#This Row],[SizTB]]</f>
        <v>41.664999999999999</v>
      </c>
      <c r="V60" s="11">
        <f>Table5[[#This Row],[$PerTB]]/CompareWarrYrs</f>
        <v>8.3330000000000002</v>
      </c>
      <c r="W60" s="8"/>
      <c r="X60" s="48">
        <f>(((Table5[[#This Row],[Watts Active]]*Power_On_Hours_Year/1000)*Active_Duty_Cycle)+((Table5[[#This Row],[Watts Idle]]*Power_On_Hours_Year/1000)*(100%-Active_Duty_Cycle)))*CostPerKWH</f>
        <v>8.6342736000000002</v>
      </c>
      <c r="Y60" s="51">
        <f>Table5[[#This Row],[Energy$year]]/Table5[[#This Row],[SizTB]]</f>
        <v>1.4390456</v>
      </c>
    </row>
    <row r="61" spans="1:26">
      <c r="A61" s="1">
        <v>42893</v>
      </c>
      <c r="B61" t="s">
        <v>10</v>
      </c>
      <c r="C61" t="s">
        <v>17</v>
      </c>
      <c r="D61" s="44" t="s">
        <v>65</v>
      </c>
      <c r="E61">
        <v>7200</v>
      </c>
      <c r="F61" s="5">
        <v>8</v>
      </c>
      <c r="G61" s="2">
        <f>(Table5[[#This Row],[RPM]]/5400-1)</f>
        <v>0.33333333333333326</v>
      </c>
      <c r="H61" s="62"/>
      <c r="I61">
        <v>5</v>
      </c>
      <c r="J61" s="66"/>
      <c r="L61" s="66"/>
      <c r="M61" s="63"/>
      <c r="N61" s="19">
        <f>12*2</f>
        <v>24</v>
      </c>
      <c r="O61" s="6">
        <v>9</v>
      </c>
      <c r="P61" s="6">
        <v>7.6</v>
      </c>
      <c r="Q61" s="6">
        <v>0.6</v>
      </c>
      <c r="R61" s="14">
        <v>299.99</v>
      </c>
      <c r="S61" s="11">
        <f>Table5[[#This Row],[Cost]]/Table5[[#This Row],[SizTB]]</f>
        <v>37.498750000000001</v>
      </c>
      <c r="T61" s="12">
        <f>Table5[[#This Row],[Cost]]+((CompareWarrYrs-Table5[[#This Row],[Warnty]])*(Incremental_Warr_Yr*Table5[[#This Row],[Cost]]))</f>
        <v>299.99</v>
      </c>
      <c r="U61" s="7">
        <f>Table5[[#This Row],[$+Warr]]/Table5[[#This Row],[SizTB]]</f>
        <v>37.498750000000001</v>
      </c>
      <c r="V61" s="11">
        <f>Table5[[#This Row],[$PerTB]]/CompareWarrYrs</f>
        <v>7.4997500000000006</v>
      </c>
      <c r="W61" s="8"/>
      <c r="X61" s="48">
        <f>(((Table5[[#This Row],[Watts Active]]*Power_On_Hours_Year/1000)*Active_Duty_Cycle)+((Table5[[#This Row],[Watts Idle]]*Power_On_Hours_Year/1000)*(100%-Active_Duty_Cycle)))*CostPerKWH</f>
        <v>8.6342736000000002</v>
      </c>
      <c r="Y61" s="51">
        <f>Table5[[#This Row],[Energy$year]]/Table5[[#This Row],[SizTB]]</f>
        <v>1.0792842</v>
      </c>
    </row>
    <row r="62" spans="1:26">
      <c r="A62" s="1">
        <v>42842</v>
      </c>
      <c r="B62" t="s">
        <v>10</v>
      </c>
      <c r="C62" t="s">
        <v>17</v>
      </c>
      <c r="D62" s="44" t="s">
        <v>65</v>
      </c>
      <c r="E62">
        <v>7200</v>
      </c>
      <c r="F62" s="5">
        <v>10</v>
      </c>
      <c r="G62" s="2">
        <f>(Table5[[#This Row],[RPM]]/5400-1)</f>
        <v>0.33333333333333326</v>
      </c>
      <c r="H62" s="62"/>
      <c r="I62">
        <v>5</v>
      </c>
      <c r="J62" s="66"/>
      <c r="L62" s="66"/>
      <c r="M62" s="63"/>
      <c r="N62" s="19">
        <f>12*2</f>
        <v>24</v>
      </c>
      <c r="O62" s="6">
        <v>6.8</v>
      </c>
      <c r="P62" s="6">
        <v>4.4000000000000004</v>
      </c>
      <c r="Q62" s="6">
        <v>0.8</v>
      </c>
      <c r="R62" s="14">
        <v>399.99</v>
      </c>
      <c r="S62" s="11">
        <f>Table5[[#This Row],[Cost]]/Table5[[#This Row],[SizTB]]</f>
        <v>39.999000000000002</v>
      </c>
      <c r="T62" s="12">
        <f>Table5[[#This Row],[Cost]]+((CompareWarrYrs-Table5[[#This Row],[Warnty]])*(Incremental_Warr_Yr*Table5[[#This Row],[Cost]]))</f>
        <v>399.99</v>
      </c>
      <c r="U62" s="7">
        <f>Table5[[#This Row],[$+Warr]]/Table5[[#This Row],[SizTB]]</f>
        <v>39.999000000000002</v>
      </c>
      <c r="V62" s="11">
        <f>Table5[[#This Row],[$PerTB]]/CompareWarrYrs</f>
        <v>7.9998000000000005</v>
      </c>
      <c r="W62" s="8"/>
      <c r="X62" s="48">
        <f>(((Table5[[#This Row],[Watts Active]]*Power_On_Hours_Year/1000)*Active_Duty_Cycle)+((Table5[[#This Row],[Watts Idle]]*Power_On_Hours_Year/1000)*(100%-Active_Duty_Cycle)))*CostPerKWH</f>
        <v>5.347113600000001</v>
      </c>
      <c r="Y62" s="51">
        <f>Table5[[#This Row],[Energy$year]]/Table5[[#This Row],[SizTB]]</f>
        <v>0.53471136000000008</v>
      </c>
    </row>
    <row r="63" spans="1:26">
      <c r="A63" s="1">
        <v>42960</v>
      </c>
      <c r="B63" t="s">
        <v>10</v>
      </c>
      <c r="C63" t="s">
        <v>14</v>
      </c>
      <c r="D63" s="44"/>
      <c r="E63">
        <v>5900</v>
      </c>
      <c r="F63" s="5">
        <v>4</v>
      </c>
      <c r="G63" s="2">
        <f>(Table5[[#This Row],[RPM]]/5400-1)</f>
        <v>9.259259259259256E-2</v>
      </c>
      <c r="H63" s="62"/>
      <c r="I63">
        <v>3</v>
      </c>
      <c r="J63" s="66"/>
      <c r="L63" s="66"/>
      <c r="M63" s="63"/>
      <c r="N63" s="19">
        <v>24</v>
      </c>
      <c r="O63" s="6">
        <v>6.49</v>
      </c>
      <c r="P63" s="6">
        <v>4.59</v>
      </c>
      <c r="Q63" s="6">
        <v>0.77</v>
      </c>
      <c r="R63" s="14">
        <v>189.99</v>
      </c>
      <c r="S63" s="11">
        <f>Table5[[#This Row],[Cost]]/Table5[[#This Row],[SizTB]]</f>
        <v>47.497500000000002</v>
      </c>
      <c r="T63" s="12">
        <f>Table5[[#This Row],[Cost]]+((CompareWarrYrs-Table5[[#This Row],[Warnty]])*(Incremental_Warr_Yr*Table5[[#This Row],[Cost]]))</f>
        <v>231.7878</v>
      </c>
      <c r="U63" s="7">
        <f>Table5[[#This Row],[$+Warr]]/Table5[[#This Row],[SizTB]]</f>
        <v>57.946950000000001</v>
      </c>
      <c r="V63" s="11">
        <f>Table5[[#This Row],[$PerTB]]/CompareWarrYrs</f>
        <v>11.58939</v>
      </c>
      <c r="W63" s="8"/>
      <c r="X63" s="48">
        <f>(((Table5[[#This Row],[Watts Active]]*Power_On_Hours_Year/1000)*Active_Duty_Cycle)+((Table5[[#This Row],[Watts Idle]]*Power_On_Hours_Year/1000)*(100%-Active_Duty_Cycle)))*CostPerKWH</f>
        <v>5.4457284000000001</v>
      </c>
      <c r="Y63" s="51">
        <f>Table5[[#This Row],[Energy$year]]/Table5[[#This Row],[SizTB]]</f>
        <v>1.3614321</v>
      </c>
    </row>
    <row r="64" spans="1:26">
      <c r="A64" s="1">
        <v>42894</v>
      </c>
      <c r="B64" t="s">
        <v>52</v>
      </c>
      <c r="C64" t="s">
        <v>53</v>
      </c>
      <c r="D64" s="44" t="s">
        <v>65</v>
      </c>
      <c r="E64">
        <v>7200</v>
      </c>
      <c r="F64" s="5">
        <v>4</v>
      </c>
      <c r="G64" s="2">
        <f>(Table5[[#This Row],[RPM]]/5400-1)</f>
        <v>0.33333333333333326</v>
      </c>
      <c r="H64" s="62"/>
      <c r="I64">
        <v>3</v>
      </c>
      <c r="J64" s="66"/>
      <c r="L64" s="66"/>
      <c r="M64" s="63"/>
      <c r="N64" s="19"/>
      <c r="O64" s="6">
        <v>9.6</v>
      </c>
      <c r="P64" s="6">
        <v>5.2</v>
      </c>
      <c r="Q64" s="6"/>
      <c r="R64" s="14">
        <v>139.99</v>
      </c>
      <c r="S64" s="11">
        <f>Table5[[#This Row],[Cost]]/Table5[[#This Row],[SizTB]]</f>
        <v>34.997500000000002</v>
      </c>
      <c r="T64" s="12">
        <f>Table5[[#This Row],[Cost]]+((CompareWarrYrs-Table5[[#This Row],[Warnty]])*(Incremental_Warr_Yr*Table5[[#This Row],[Cost]]))</f>
        <v>170.7878</v>
      </c>
      <c r="U64" s="7">
        <f>Table5[[#This Row],[$+Warr]]/Table5[[#This Row],[SizTB]]</f>
        <v>42.696950000000001</v>
      </c>
      <c r="V64" s="11">
        <f>Table5[[#This Row],[$PerTB]]/CompareWarrYrs</f>
        <v>8.5393900000000009</v>
      </c>
      <c r="W64" s="20"/>
      <c r="X64" s="48">
        <f>(((Table5[[#This Row],[Watts Active]]*Power_On_Hours_Year/1000)*Active_Duty_Cycle)+((Table5[[#This Row],[Watts Idle]]*Power_On_Hours_Year/1000)*(100%-Active_Duty_Cycle)))*CostPerKWH</f>
        <v>6.6619776000000011</v>
      </c>
      <c r="Y64" s="51">
        <f>Table5[[#This Row],[Energy$year]]/Table5[[#This Row],[SizTB]]</f>
        <v>1.6654944000000003</v>
      </c>
    </row>
    <row r="65" spans="1:25">
      <c r="A65" s="1">
        <v>42894</v>
      </c>
      <c r="B65" t="s">
        <v>52</v>
      </c>
      <c r="C65" t="s">
        <v>53</v>
      </c>
      <c r="D65" s="44" t="s">
        <v>65</v>
      </c>
      <c r="E65">
        <v>7200</v>
      </c>
      <c r="F65" s="5">
        <v>6</v>
      </c>
      <c r="G65" s="2">
        <f>(Table5[[#This Row],[RPM]]/5400-1)</f>
        <v>0.33333333333333326</v>
      </c>
      <c r="H65" s="62"/>
      <c r="I65">
        <v>3</v>
      </c>
      <c r="J65" s="66"/>
      <c r="L65" s="66"/>
      <c r="M65" s="63"/>
      <c r="N65" s="19"/>
      <c r="O65" s="6">
        <v>10.1</v>
      </c>
      <c r="P65" s="6">
        <v>6.7</v>
      </c>
      <c r="Q65" s="6"/>
      <c r="R65" s="14">
        <v>214.99</v>
      </c>
      <c r="S65" s="11">
        <f>Table5[[#This Row],[Cost]]/Table5[[#This Row],[SizTB]]</f>
        <v>35.831666666666671</v>
      </c>
      <c r="T65" s="12">
        <f>Table5[[#This Row],[Cost]]+((CompareWarrYrs-Table5[[#This Row],[Warnty]])*(Incremental_Warr_Yr*Table5[[#This Row],[Cost]]))</f>
        <v>262.2878</v>
      </c>
      <c r="U65" s="7">
        <f>Table5[[#This Row],[$+Warr]]/Table5[[#This Row],[SizTB]]</f>
        <v>43.714633333333332</v>
      </c>
      <c r="V65" s="11">
        <f>Table5[[#This Row],[$PerTB]]/CompareWarrYrs</f>
        <v>8.7429266666666656</v>
      </c>
      <c r="W65" s="20"/>
      <c r="X65" s="48">
        <f>(((Table5[[#This Row],[Watts Active]]*Power_On_Hours_Year/1000)*Active_Duty_Cycle)+((Table5[[#This Row],[Watts Idle]]*Power_On_Hours_Year/1000)*(100%-Active_Duty_Cycle)))*CostPerKWH</f>
        <v>8.0864136000000002</v>
      </c>
      <c r="Y65" s="51">
        <f>Table5[[#This Row],[Energy$year]]/Table5[[#This Row],[SizTB]]</f>
        <v>1.3477356</v>
      </c>
    </row>
    <row r="66" spans="1:25">
      <c r="A66" s="1">
        <v>42894</v>
      </c>
      <c r="B66" t="s">
        <v>52</v>
      </c>
      <c r="C66" t="s">
        <v>53</v>
      </c>
      <c r="D66" s="44" t="s">
        <v>65</v>
      </c>
      <c r="E66">
        <v>7200</v>
      </c>
      <c r="F66" s="5">
        <v>8</v>
      </c>
      <c r="G66" s="2">
        <f>(Table5[[#This Row],[RPM]]/5400-1)</f>
        <v>0.33333333333333326</v>
      </c>
      <c r="H66" s="62"/>
      <c r="I66">
        <v>3</v>
      </c>
      <c r="J66" s="66"/>
      <c r="L66" s="66"/>
      <c r="M66" s="63"/>
      <c r="N66" s="19"/>
      <c r="O66" s="6">
        <v>9.1999999999999993</v>
      </c>
      <c r="P66" s="6">
        <v>6.2</v>
      </c>
      <c r="Q66" s="6"/>
      <c r="R66" s="14">
        <v>249.99</v>
      </c>
      <c r="S66" s="11">
        <f>Table5[[#This Row],[Cost]]/Table5[[#This Row],[SizTB]]</f>
        <v>31.248750000000001</v>
      </c>
      <c r="T66" s="12">
        <f>Table5[[#This Row],[Cost]]+((CompareWarrYrs-Table5[[#This Row],[Warnty]])*(Incremental_Warr_Yr*Table5[[#This Row],[Cost]]))</f>
        <v>304.98779999999999</v>
      </c>
      <c r="U66" s="7">
        <f>Table5[[#This Row],[$+Warr]]/Table5[[#This Row],[SizTB]]</f>
        <v>38.123474999999999</v>
      </c>
      <c r="V66" s="11">
        <f>Table5[[#This Row],[$PerTB]]/CompareWarrYrs</f>
        <v>7.624695</v>
      </c>
      <c r="W66" s="20"/>
      <c r="X66" s="48">
        <f>(((Table5[[#This Row],[Watts Active]]*Power_On_Hours_Year/1000)*Active_Duty_Cycle)+((Table5[[#This Row],[Watts Idle]]*Power_On_Hours_Year/1000)*(100%-Active_Duty_Cycle)))*CostPerKWH</f>
        <v>7.4508960000000002</v>
      </c>
      <c r="Y66" s="51">
        <f>Table5[[#This Row],[Energy$year]]/Table5[[#This Row],[SizTB]]</f>
        <v>0.93136200000000002</v>
      </c>
    </row>
    <row r="67" spans="1:25">
      <c r="A67" s="1">
        <v>42956</v>
      </c>
      <c r="B67" t="s">
        <v>52</v>
      </c>
      <c r="C67" t="s">
        <v>71</v>
      </c>
      <c r="D67" s="44"/>
      <c r="E67">
        <v>7200</v>
      </c>
      <c r="F67" s="5">
        <v>1</v>
      </c>
      <c r="G67" s="2">
        <f>(Table5[[#This Row],[RPM]]/5400-1)</f>
        <v>0.33333333333333326</v>
      </c>
      <c r="H67" s="62"/>
      <c r="I67">
        <v>1</v>
      </c>
      <c r="J67" s="66"/>
      <c r="L67" s="66"/>
      <c r="M67" s="63"/>
      <c r="N67" s="19"/>
      <c r="O67" s="6"/>
      <c r="P67" s="6"/>
      <c r="Q67" s="6"/>
      <c r="R67" s="14">
        <v>50.14</v>
      </c>
      <c r="S67" s="11">
        <f>Table5[[#This Row],[Cost]]/Table5[[#This Row],[SizTB]]</f>
        <v>50.14</v>
      </c>
      <c r="T67" s="12">
        <f>Table5[[#This Row],[Cost]]+((CompareWarrYrs-Table5[[#This Row],[Warnty]])*(Incremental_Warr_Yr*Table5[[#This Row],[Cost]]))</f>
        <v>72.201599999999999</v>
      </c>
      <c r="U67" s="7">
        <f>Table5[[#This Row],[$+Warr]]/Table5[[#This Row],[SizTB]]</f>
        <v>72.201599999999999</v>
      </c>
      <c r="V67" s="11">
        <f>Table5[[#This Row],[$PerTB]]/CompareWarrYrs</f>
        <v>14.44032</v>
      </c>
      <c r="W67" s="20"/>
      <c r="X67" s="48"/>
      <c r="Y67" s="51"/>
    </row>
    <row r="68" spans="1:25">
      <c r="A68" s="1">
        <v>42956</v>
      </c>
      <c r="B68" t="s">
        <v>52</v>
      </c>
      <c r="C68" t="s">
        <v>71</v>
      </c>
      <c r="D68" s="44"/>
      <c r="E68">
        <v>7200</v>
      </c>
      <c r="F68" s="5">
        <v>2</v>
      </c>
      <c r="G68" s="2">
        <f>(Table5[[#This Row],[RPM]]/5400-1)</f>
        <v>0.33333333333333326</v>
      </c>
      <c r="H68" s="62"/>
      <c r="I68">
        <v>2</v>
      </c>
      <c r="J68" s="66"/>
      <c r="L68" s="66"/>
      <c r="M68" s="63"/>
      <c r="N68" s="19"/>
      <c r="O68" s="6"/>
      <c r="P68" s="6"/>
      <c r="Q68" s="6"/>
      <c r="R68" s="14">
        <v>64.989999999999995</v>
      </c>
      <c r="S68" s="11">
        <f>Table5[[#This Row],[Cost]]/Table5[[#This Row],[SizTB]]</f>
        <v>32.494999999999997</v>
      </c>
      <c r="T68" s="12">
        <f>Table5[[#This Row],[Cost]]+((CompareWarrYrs-Table5[[#This Row],[Warnty]])*(Incremental_Warr_Yr*Table5[[#This Row],[Cost]]))</f>
        <v>86.436700000000002</v>
      </c>
      <c r="U68" s="7">
        <f>Table5[[#This Row],[$+Warr]]/Table5[[#This Row],[SizTB]]</f>
        <v>43.218350000000001</v>
      </c>
      <c r="V68" s="11">
        <f>Table5[[#This Row],[$PerTB]]/CompareWarrYrs</f>
        <v>8.6436700000000002</v>
      </c>
      <c r="W68" s="20"/>
      <c r="X68" s="48"/>
      <c r="Y68" s="51"/>
    </row>
    <row r="69" spans="1:25">
      <c r="A69" s="1">
        <v>42956</v>
      </c>
      <c r="B69" t="s">
        <v>52</v>
      </c>
      <c r="C69" t="s">
        <v>71</v>
      </c>
      <c r="D69" s="44"/>
      <c r="E69">
        <v>7200</v>
      </c>
      <c r="F69" s="5">
        <v>3</v>
      </c>
      <c r="G69" s="2">
        <f>(Table5[[#This Row],[RPM]]/5400-1)</f>
        <v>0.33333333333333326</v>
      </c>
      <c r="H69" s="62"/>
      <c r="I69">
        <v>2</v>
      </c>
      <c r="J69" s="66"/>
      <c r="L69" s="66"/>
      <c r="M69" s="63"/>
      <c r="N69" s="19"/>
      <c r="O69" s="6"/>
      <c r="P69" s="6"/>
      <c r="Q69" s="6"/>
      <c r="R69" s="14">
        <v>78.989999999999995</v>
      </c>
      <c r="S69" s="11">
        <f>Table5[[#This Row],[Cost]]/Table5[[#This Row],[SizTB]]</f>
        <v>26.33</v>
      </c>
      <c r="T69" s="12">
        <f>Table5[[#This Row],[Cost]]+((CompareWarrYrs-Table5[[#This Row],[Warnty]])*(Incremental_Warr_Yr*Table5[[#This Row],[Cost]]))</f>
        <v>105.05669999999999</v>
      </c>
      <c r="U69" s="7">
        <f>Table5[[#This Row],[$+Warr]]/Table5[[#This Row],[SizTB]]</f>
        <v>35.018899999999995</v>
      </c>
      <c r="V69" s="11">
        <f>Table5[[#This Row],[$PerTB]]/CompareWarrYrs</f>
        <v>7.003779999999999</v>
      </c>
      <c r="W69" s="20"/>
      <c r="X69" s="48"/>
      <c r="Y69" s="51"/>
    </row>
    <row r="70" spans="1:25">
      <c r="A70" s="1">
        <v>42956</v>
      </c>
      <c r="B70" t="s">
        <v>52</v>
      </c>
      <c r="C70" t="s">
        <v>71</v>
      </c>
      <c r="D70" s="44"/>
      <c r="E70">
        <v>7200</v>
      </c>
      <c r="F70" s="5">
        <v>4</v>
      </c>
      <c r="G70" s="2">
        <f>(Table5[[#This Row],[RPM]]/5400-1)</f>
        <v>0.33333333333333326</v>
      </c>
      <c r="H70" s="62"/>
      <c r="I70">
        <v>2</v>
      </c>
      <c r="J70" s="66"/>
      <c r="L70" s="66"/>
      <c r="M70" s="63"/>
      <c r="N70" s="19"/>
      <c r="O70" s="6"/>
      <c r="P70" s="6"/>
      <c r="Q70" s="6"/>
      <c r="R70" s="14">
        <v>114.99</v>
      </c>
      <c r="S70" s="11">
        <f>Table5[[#This Row],[Cost]]/Table5[[#This Row],[SizTB]]</f>
        <v>28.747499999999999</v>
      </c>
      <c r="T70" s="12">
        <f>Table5[[#This Row],[Cost]]+((CompareWarrYrs-Table5[[#This Row],[Warnty]])*(Incremental_Warr_Yr*Table5[[#This Row],[Cost]]))</f>
        <v>152.9367</v>
      </c>
      <c r="U70" s="7">
        <f>Table5[[#This Row],[$+Warr]]/Table5[[#This Row],[SizTB]]</f>
        <v>38.234175</v>
      </c>
      <c r="V70" s="11">
        <f>Table5[[#This Row],[$PerTB]]/CompareWarrYrs</f>
        <v>7.6468350000000003</v>
      </c>
      <c r="W70" s="20"/>
      <c r="X70" s="48"/>
      <c r="Y70" s="51"/>
    </row>
    <row r="71" spans="1:25">
      <c r="A71" s="1">
        <v>42956</v>
      </c>
      <c r="B71" t="s">
        <v>52</v>
      </c>
      <c r="C71" t="s">
        <v>71</v>
      </c>
      <c r="D71" s="44"/>
      <c r="E71">
        <v>7200</v>
      </c>
      <c r="F71" s="5">
        <v>5</v>
      </c>
      <c r="G71" s="2">
        <f>(Table5[[#This Row],[RPM]]/5400-1)</f>
        <v>0.33333333333333326</v>
      </c>
      <c r="H71" s="62"/>
      <c r="I71">
        <v>2</v>
      </c>
      <c r="J71" s="66"/>
      <c r="L71" s="66"/>
      <c r="M71" s="63"/>
      <c r="N71" s="19"/>
      <c r="O71" s="6"/>
      <c r="P71" s="6"/>
      <c r="Q71" s="6"/>
      <c r="R71" s="14">
        <v>159.99</v>
      </c>
      <c r="S71" s="11">
        <f>Table5[[#This Row],[Cost]]/Table5[[#This Row],[SizTB]]</f>
        <v>31.998000000000001</v>
      </c>
      <c r="T71" s="12">
        <f>Table5[[#This Row],[Cost]]+((CompareWarrYrs-Table5[[#This Row],[Warnty]])*(Incremental_Warr_Yr*Table5[[#This Row],[Cost]]))</f>
        <v>212.7867</v>
      </c>
      <c r="U71" s="7">
        <f>Table5[[#This Row],[$+Warr]]/Table5[[#This Row],[SizTB]]</f>
        <v>42.557339999999996</v>
      </c>
      <c r="V71" s="11">
        <f>Table5[[#This Row],[$PerTB]]/CompareWarrYrs</f>
        <v>8.5114679999999989</v>
      </c>
      <c r="W71" s="20"/>
      <c r="X71" s="48"/>
      <c r="Y71" s="51"/>
    </row>
    <row r="72" spans="1:25">
      <c r="A72" s="1">
        <v>42956</v>
      </c>
      <c r="B72" t="s">
        <v>52</v>
      </c>
      <c r="C72" t="s">
        <v>71</v>
      </c>
      <c r="D72" s="44"/>
      <c r="E72">
        <v>7200</v>
      </c>
      <c r="F72" s="5">
        <v>6</v>
      </c>
      <c r="G72" s="2">
        <f>(Table5[[#This Row],[RPM]]/5400-1)</f>
        <v>0.33333333333333326</v>
      </c>
      <c r="H72" s="62"/>
      <c r="I72">
        <v>2</v>
      </c>
      <c r="J72" s="66"/>
      <c r="L72" s="66"/>
      <c r="M72" s="63"/>
      <c r="N72" s="19"/>
      <c r="O72" s="6"/>
      <c r="P72" s="6"/>
      <c r="Q72" s="6"/>
      <c r="R72" s="14">
        <v>139.99</v>
      </c>
      <c r="S72" s="11">
        <f>Table5[[#This Row],[Cost]]/Table5[[#This Row],[SizTB]]</f>
        <v>23.331666666666667</v>
      </c>
      <c r="T72" s="12">
        <f>Table5[[#This Row],[Cost]]+((CompareWarrYrs-Table5[[#This Row],[Warnty]])*(Incremental_Warr_Yr*Table5[[#This Row],[Cost]]))</f>
        <v>186.18670000000003</v>
      </c>
      <c r="U72" s="7">
        <f>Table5[[#This Row],[$+Warr]]/Table5[[#This Row],[SizTB]]</f>
        <v>31.031116666666673</v>
      </c>
      <c r="V72" s="11">
        <f>Table5[[#This Row],[$PerTB]]/CompareWarrYrs</f>
        <v>6.2062233333333348</v>
      </c>
      <c r="W72" s="20"/>
      <c r="X72" s="48"/>
      <c r="Y72" s="51"/>
    </row>
    <row r="73" spans="1:25">
      <c r="A73" s="1">
        <v>42944</v>
      </c>
      <c r="B73" t="s">
        <v>6</v>
      </c>
      <c r="C73" t="s">
        <v>5</v>
      </c>
      <c r="D73" s="44"/>
      <c r="E73">
        <v>7200</v>
      </c>
      <c r="F73" s="5">
        <v>1</v>
      </c>
      <c r="G73" s="2">
        <f>(Table5[[#This Row],[RPM]]/5400-1)</f>
        <v>0.33333333333333326</v>
      </c>
      <c r="H73" s="62">
        <v>150</v>
      </c>
      <c r="I73">
        <v>5</v>
      </c>
      <c r="J73" s="66">
        <v>300000</v>
      </c>
      <c r="L73" s="66"/>
      <c r="M73" s="63">
        <f t="shared" ref="M73:M77" si="5">10^14</f>
        <v>100000000000000</v>
      </c>
      <c r="N73" s="19"/>
      <c r="O73" s="6">
        <v>6.8</v>
      </c>
      <c r="P73" s="6">
        <v>6.1</v>
      </c>
      <c r="Q73" s="6">
        <v>0.8</v>
      </c>
      <c r="R73" s="14">
        <v>69.989999999999995</v>
      </c>
      <c r="S73" s="11">
        <f>Table5[[#This Row],[Cost]]/Table5[[#This Row],[SizTB]]</f>
        <v>69.989999999999995</v>
      </c>
      <c r="T73" s="12">
        <f>Table5[[#This Row],[Cost]]+((CompareWarrYrs-Table5[[#This Row],[Warnty]])*(Incremental_Warr_Yr*Table5[[#This Row],[Cost]]))</f>
        <v>69.989999999999995</v>
      </c>
      <c r="U73" s="7">
        <f>Table5[[#This Row],[$+Warr]]/Table5[[#This Row],[SizTB]]</f>
        <v>69.989999999999995</v>
      </c>
      <c r="V73" s="11">
        <f>Table5[[#This Row],[$PerTB]]/CompareWarrYrs</f>
        <v>13.997999999999999</v>
      </c>
      <c r="W73" s="8"/>
      <c r="X73" s="48">
        <f>(((Table5[[#This Row],[Watts Active]]*Power_On_Hours_Year/1000)*Active_Duty_Cycle)+((Table5[[#This Row],[Watts Idle]]*Power_On_Hours_Year/1000)*(100%-Active_Duty_Cycle)))*CostPerKWH</f>
        <v>6.8372928000000002</v>
      </c>
      <c r="Y73" s="49">
        <f>Table5[[#This Row],[Energy$year]]/Table5[[#This Row],[SizTB]]</f>
        <v>6.8372928000000002</v>
      </c>
    </row>
    <row r="74" spans="1:25">
      <c r="A74" s="1">
        <v>42957</v>
      </c>
      <c r="B74" t="s">
        <v>6</v>
      </c>
      <c r="C74" t="s">
        <v>5</v>
      </c>
      <c r="D74" s="44"/>
      <c r="E74">
        <v>7200</v>
      </c>
      <c r="F74" s="5">
        <v>2</v>
      </c>
      <c r="G74" s="2">
        <f>(Table5[[#This Row],[RPM]]/5400-1)</f>
        <v>0.33333333333333326</v>
      </c>
      <c r="H74" s="62">
        <v>164</v>
      </c>
      <c r="I74">
        <v>5</v>
      </c>
      <c r="J74" s="66">
        <v>300000</v>
      </c>
      <c r="L74" s="66"/>
      <c r="M74" s="63">
        <f t="shared" si="5"/>
        <v>100000000000000</v>
      </c>
      <c r="N74" s="19"/>
      <c r="O74" s="6">
        <v>9.5</v>
      </c>
      <c r="P74" s="6">
        <v>8.1</v>
      </c>
      <c r="Q74" s="6">
        <v>1.3</v>
      </c>
      <c r="R74" s="14">
        <v>114.99</v>
      </c>
      <c r="S74" s="11">
        <f>Table5[[#This Row],[Cost]]/Table5[[#This Row],[SizTB]]</f>
        <v>57.494999999999997</v>
      </c>
      <c r="T74" s="12">
        <f>Table5[[#This Row],[Cost]]+((CompareWarrYrs-Table5[[#This Row],[Warnty]])*(Incremental_Warr_Yr*Table5[[#This Row],[Cost]]))</f>
        <v>114.99</v>
      </c>
      <c r="U74" s="7">
        <f>Table5[[#This Row],[$+Warr]]/Table5[[#This Row],[SizTB]]</f>
        <v>57.494999999999997</v>
      </c>
      <c r="V74" s="11">
        <f>Table5[[#This Row],[$PerTB]]/CompareWarrYrs</f>
        <v>11.498999999999999</v>
      </c>
      <c r="W74" s="8"/>
      <c r="X74" s="48">
        <f>(((Table5[[#This Row],[Watts Active]]*Power_On_Hours_Year/1000)*Active_Duty_Cycle)+((Table5[[#This Row],[Watts Idle]]*Power_On_Hours_Year/1000)*(100%-Active_Duty_Cycle)))*CostPerKWH</f>
        <v>9.1821336000000002</v>
      </c>
      <c r="Y74" s="49">
        <f>Table5[[#This Row],[Energy$year]]/Table5[[#This Row],[SizTB]]</f>
        <v>4.5910668000000001</v>
      </c>
    </row>
    <row r="75" spans="1:25">
      <c r="A75" s="1">
        <v>42959</v>
      </c>
      <c r="B75" t="s">
        <v>6</v>
      </c>
      <c r="C75" t="s">
        <v>5</v>
      </c>
      <c r="D75" s="44"/>
      <c r="E75">
        <v>7200</v>
      </c>
      <c r="F75" s="5">
        <v>4</v>
      </c>
      <c r="G75" s="2">
        <f>(Table5[[#This Row],[RPM]]/5400-1)</f>
        <v>0.33333333333333326</v>
      </c>
      <c r="H75" s="62">
        <v>202</v>
      </c>
      <c r="I75">
        <v>5</v>
      </c>
      <c r="J75" s="66">
        <v>300000</v>
      </c>
      <c r="L75" s="66"/>
      <c r="M75" s="63">
        <f t="shared" si="5"/>
        <v>100000000000000</v>
      </c>
      <c r="N75" s="19"/>
      <c r="O75" s="6">
        <v>10.6</v>
      </c>
      <c r="P75" s="6">
        <v>7.6</v>
      </c>
      <c r="Q75" s="6">
        <v>1.6</v>
      </c>
      <c r="R75" s="14">
        <v>179.99</v>
      </c>
      <c r="S75" s="11">
        <f>Table5[[#This Row],[Cost]]/Table5[[#This Row],[SizTB]]</f>
        <v>44.997500000000002</v>
      </c>
      <c r="T75" s="12">
        <f>Table5[[#This Row],[Cost]]+((CompareWarrYrs-Table5[[#This Row],[Warnty]])*(Incremental_Warr_Yr*Table5[[#This Row],[Cost]]))</f>
        <v>179.99</v>
      </c>
      <c r="U75" s="7">
        <f>Table5[[#This Row],[$+Warr]]/Table5[[#This Row],[SizTB]]</f>
        <v>44.997500000000002</v>
      </c>
      <c r="V75" s="11">
        <f>Table5[[#This Row],[$PerTB]]/CompareWarrYrs</f>
        <v>8.9995000000000012</v>
      </c>
      <c r="W75" s="8"/>
      <c r="X75" s="48">
        <f>(((Table5[[#This Row],[Watts Active]]*Power_On_Hours_Year/1000)*Active_Duty_Cycle)+((Table5[[#This Row],[Watts Idle]]*Power_On_Hours_Year/1000)*(100%-Active_Duty_Cycle)))*CostPerKWH</f>
        <v>8.9849040000000002</v>
      </c>
      <c r="Y75" s="49">
        <f>Table5[[#This Row],[Energy$year]]/Table5[[#This Row],[SizTB]]</f>
        <v>2.2462260000000001</v>
      </c>
    </row>
    <row r="76" spans="1:25">
      <c r="A76" s="1">
        <v>42808</v>
      </c>
      <c r="B76" t="s">
        <v>6</v>
      </c>
      <c r="C76" t="s">
        <v>5</v>
      </c>
      <c r="D76" s="44"/>
      <c r="E76">
        <v>7200</v>
      </c>
      <c r="F76" s="5">
        <v>5</v>
      </c>
      <c r="G76" s="2">
        <f>(Table5[[#This Row],[RPM]]/5400-1)</f>
        <v>0.33333333333333326</v>
      </c>
      <c r="H76" s="62">
        <v>194</v>
      </c>
      <c r="I76">
        <v>5</v>
      </c>
      <c r="J76" s="66">
        <v>300000</v>
      </c>
      <c r="L76" s="66"/>
      <c r="M76" s="63">
        <f t="shared" si="5"/>
        <v>100000000000000</v>
      </c>
      <c r="N76" s="19"/>
      <c r="O76" s="6">
        <v>10.6</v>
      </c>
      <c r="P76" s="6">
        <v>7.6</v>
      </c>
      <c r="Q76" s="6">
        <v>1.6</v>
      </c>
      <c r="R76" s="14">
        <v>219.99</v>
      </c>
      <c r="S76" s="11">
        <f>Table5[[#This Row],[Cost]]/Table5[[#This Row],[SizTB]]</f>
        <v>43.998000000000005</v>
      </c>
      <c r="T76" s="12">
        <f>Table5[[#This Row],[Cost]]+((CompareWarrYrs-Table5[[#This Row],[Warnty]])*(Incremental_Warr_Yr*Table5[[#This Row],[Cost]]))</f>
        <v>219.99</v>
      </c>
      <c r="U76" s="7">
        <f>Table5[[#This Row],[$+Warr]]/Table5[[#This Row],[SizTB]]</f>
        <v>43.998000000000005</v>
      </c>
      <c r="V76" s="11">
        <f>Table5[[#This Row],[$PerTB]]/CompareWarrYrs</f>
        <v>8.7996000000000016</v>
      </c>
      <c r="W76" s="8"/>
      <c r="X76" s="48">
        <f>(((Table5[[#This Row],[Watts Active]]*Power_On_Hours_Year/1000)*Active_Duty_Cycle)+((Table5[[#This Row],[Watts Idle]]*Power_On_Hours_Year/1000)*(100%-Active_Duty_Cycle)))*CostPerKWH</f>
        <v>8.9849040000000002</v>
      </c>
      <c r="Y76" s="49">
        <f>Table5[[#This Row],[Energy$year]]/Table5[[#This Row],[SizTB]]</f>
        <v>1.7969808</v>
      </c>
    </row>
    <row r="77" spans="1:25">
      <c r="A77" s="1">
        <v>42833</v>
      </c>
      <c r="B77" t="s">
        <v>6</v>
      </c>
      <c r="C77" t="s">
        <v>5</v>
      </c>
      <c r="D77" s="44"/>
      <c r="E77">
        <v>7200</v>
      </c>
      <c r="F77" s="5">
        <v>6</v>
      </c>
      <c r="G77" s="2">
        <f>(Table5[[#This Row],[RPM]]/5400-1)</f>
        <v>0.33333333333333326</v>
      </c>
      <c r="H77" s="62">
        <v>227</v>
      </c>
      <c r="I77">
        <v>5</v>
      </c>
      <c r="J77" s="66">
        <v>300000</v>
      </c>
      <c r="L77" s="66"/>
      <c r="M77" s="63">
        <f t="shared" si="5"/>
        <v>100000000000000</v>
      </c>
      <c r="N77" s="19"/>
      <c r="O77" s="6">
        <v>10.6</v>
      </c>
      <c r="P77" s="6">
        <v>7.6</v>
      </c>
      <c r="Q77" s="6">
        <v>1.6</v>
      </c>
      <c r="R77" s="14">
        <v>249.99</v>
      </c>
      <c r="S77" s="11">
        <f>Table5[[#This Row],[Cost]]/Table5[[#This Row],[SizTB]]</f>
        <v>41.664999999999999</v>
      </c>
      <c r="T77" s="12">
        <f>Table5[[#This Row],[Cost]]+((CompareWarrYrs-Table5[[#This Row],[Warnty]])*(Incremental_Warr_Yr*Table5[[#This Row],[Cost]]))</f>
        <v>249.99</v>
      </c>
      <c r="U77" s="7">
        <f>Table5[[#This Row],[$+Warr]]/Table5[[#This Row],[SizTB]]</f>
        <v>41.664999999999999</v>
      </c>
      <c r="V77" s="11">
        <f>Table5[[#This Row],[$PerTB]]/CompareWarrYrs</f>
        <v>8.3330000000000002</v>
      </c>
      <c r="W77" s="8"/>
      <c r="X77" s="48">
        <f>(((Table5[[#This Row],[Watts Active]]*Power_On_Hours_Year/1000)*Active_Duty_Cycle)+((Table5[[#This Row],[Watts Idle]]*Power_On_Hours_Year/1000)*(100%-Active_Duty_Cycle)))*CostPerKWH</f>
        <v>8.9849040000000002</v>
      </c>
      <c r="Y77" s="49">
        <f>Table5[[#This Row],[Energy$year]]/Table5[[#This Row],[SizTB]]</f>
        <v>1.497484</v>
      </c>
    </row>
    <row r="78" spans="1:25">
      <c r="A78" s="1">
        <v>42833</v>
      </c>
      <c r="B78" t="s">
        <v>6</v>
      </c>
      <c r="C78" t="s">
        <v>5</v>
      </c>
      <c r="D78" s="44"/>
      <c r="E78">
        <v>7200</v>
      </c>
      <c r="F78" s="5">
        <v>8</v>
      </c>
      <c r="G78" s="2">
        <f>(Table5[[#This Row],[RPM]]/5400-1)</f>
        <v>0.33333333333333326</v>
      </c>
      <c r="H78" s="62"/>
      <c r="I78">
        <v>5</v>
      </c>
      <c r="J78" s="66">
        <v>300000</v>
      </c>
      <c r="L78" s="66"/>
      <c r="M78" s="63"/>
      <c r="N78" s="19"/>
      <c r="O78" s="6">
        <v>10.6</v>
      </c>
      <c r="P78" s="6">
        <v>7.6</v>
      </c>
      <c r="Q78" s="6">
        <v>1.6</v>
      </c>
      <c r="R78" s="14">
        <v>329.99</v>
      </c>
      <c r="S78" s="11">
        <f>Table5[[#This Row],[Cost]]/Table5[[#This Row],[SizTB]]</f>
        <v>41.248750000000001</v>
      </c>
      <c r="T78" s="12">
        <f>Table5[[#This Row],[Cost]]+((CompareWarrYrs-Table5[[#This Row],[Warnty]])*(Incremental_Warr_Yr*Table5[[#This Row],[Cost]]))</f>
        <v>329.99</v>
      </c>
      <c r="U78" s="7">
        <f>Table5[[#This Row],[$+Warr]]/Table5[[#This Row],[SizTB]]</f>
        <v>41.248750000000001</v>
      </c>
      <c r="V78" s="11">
        <f>Table5[[#This Row],[$PerTB]]/CompareWarrYrs</f>
        <v>8.2497500000000006</v>
      </c>
      <c r="W78" s="8"/>
      <c r="X78" s="48">
        <f>(((Table5[[#This Row],[Watts Active]]*Power_On_Hours_Year/1000)*Active_Duty_Cycle)+((Table5[[#This Row],[Watts Idle]]*Power_On_Hours_Year/1000)*(100%-Active_Duty_Cycle)))*CostPerKWH</f>
        <v>8.9849040000000002</v>
      </c>
      <c r="Y78" s="49">
        <f>Table5[[#This Row],[Energy$year]]/Table5[[#This Row],[SizTB]]</f>
        <v>1.123113</v>
      </c>
    </row>
    <row r="79" spans="1:25">
      <c r="A79" s="1">
        <v>42961</v>
      </c>
      <c r="B79" t="s">
        <v>6</v>
      </c>
      <c r="C79" t="s">
        <v>83</v>
      </c>
      <c r="D79" s="44"/>
      <c r="E79">
        <v>7200</v>
      </c>
      <c r="F79" s="5">
        <v>1</v>
      </c>
      <c r="G79" s="2">
        <f>(Table5[[#This Row],[RPM]]/5400-1)</f>
        <v>0.33333333333333326</v>
      </c>
      <c r="H79" s="62"/>
      <c r="I79">
        <v>5</v>
      </c>
      <c r="J79" s="66">
        <v>600000</v>
      </c>
      <c r="L79" s="66"/>
      <c r="M79" s="63">
        <f t="shared" ref="M79:M87" si="6">10^14</f>
        <v>100000000000000</v>
      </c>
      <c r="N79" s="19">
        <f>1.1*5</f>
        <v>5.5</v>
      </c>
      <c r="O79" s="6">
        <v>1.8</v>
      </c>
      <c r="P79" s="6">
        <v>0.8</v>
      </c>
      <c r="Q79" s="6">
        <v>0.2</v>
      </c>
      <c r="R79" s="14">
        <v>69.989999999999995</v>
      </c>
      <c r="S79" s="11">
        <f>Table5[[#This Row],[Cost]]/Table5[[#This Row],[SizTB]]</f>
        <v>69.989999999999995</v>
      </c>
      <c r="T79" s="12">
        <f>Table5[[#This Row],[Cost]]+((CompareWarrYrs-Table5[[#This Row],[Warnty]])*(Incremental_Warr_Yr*Table5[[#This Row],[Cost]]))</f>
        <v>69.989999999999995</v>
      </c>
      <c r="U79" s="7">
        <f>Table5[[#This Row],[$+Warr]]/Table5[[#This Row],[SizTB]]</f>
        <v>69.989999999999995</v>
      </c>
      <c r="V79" s="11">
        <f>Table5[[#This Row],[$PerTB]]/CompareWarrYrs</f>
        <v>13.997999999999999</v>
      </c>
      <c r="W79" s="8"/>
      <c r="X79" s="48">
        <f>(((Table5[[#This Row],[Watts Active]]*Power_On_Hours_Year/1000)*Active_Duty_Cycle)+((Table5[[#This Row],[Watts Idle]]*Power_On_Hours_Year/1000)*(100%-Active_Duty_Cycle)))*CostPerKWH</f>
        <v>1.09572</v>
      </c>
      <c r="Y79" s="49">
        <f>Table5[[#This Row],[Energy$year]]/Table5[[#This Row],[SizTB]]</f>
        <v>1.09572</v>
      </c>
    </row>
    <row r="80" spans="1:25">
      <c r="A80" s="1">
        <v>42829</v>
      </c>
      <c r="B80" t="s">
        <v>6</v>
      </c>
      <c r="C80" t="s">
        <v>33</v>
      </c>
      <c r="D80" s="44"/>
      <c r="E80">
        <v>5400</v>
      </c>
      <c r="F80" s="5">
        <v>1</v>
      </c>
      <c r="G80" s="2">
        <f>(Table5[[#This Row],[RPM]]/5400-1)</f>
        <v>0</v>
      </c>
      <c r="H80" s="62">
        <v>150</v>
      </c>
      <c r="I80">
        <v>2</v>
      </c>
      <c r="J80" s="66">
        <v>300000</v>
      </c>
      <c r="L80" s="66"/>
      <c r="M80" s="63">
        <f t="shared" si="6"/>
        <v>100000000000000</v>
      </c>
      <c r="N80" s="19"/>
      <c r="O80" s="6"/>
      <c r="P80" s="6"/>
      <c r="Q80" s="6"/>
      <c r="R80" s="14">
        <v>49.99</v>
      </c>
      <c r="S80" s="11">
        <f>Table5[[#This Row],[Cost]]/Table5[[#This Row],[SizTB]]</f>
        <v>49.99</v>
      </c>
      <c r="T80" s="12">
        <f>Table5[[#This Row],[Cost]]+((CompareWarrYrs-Table5[[#This Row],[Warnty]])*(Incremental_Warr_Yr*Table5[[#This Row],[Cost]]))</f>
        <v>66.486699999999999</v>
      </c>
      <c r="U80" s="7">
        <f>Table5[[#This Row],[$+Warr]]/Table5[[#This Row],[SizTB]]</f>
        <v>66.486699999999999</v>
      </c>
      <c r="V80" s="11">
        <f>Table5[[#This Row],[$PerTB]]/CompareWarrYrs</f>
        <v>13.29734</v>
      </c>
      <c r="W80" s="8"/>
      <c r="X80" s="48"/>
      <c r="Y80" s="49"/>
    </row>
    <row r="81" spans="1:26">
      <c r="A81" s="1">
        <v>42960</v>
      </c>
      <c r="B81" t="s">
        <v>6</v>
      </c>
      <c r="C81" t="s">
        <v>33</v>
      </c>
      <c r="D81" s="44"/>
      <c r="E81">
        <v>5400</v>
      </c>
      <c r="F81" s="5">
        <v>2</v>
      </c>
      <c r="G81" s="2">
        <f>(Table5[[#This Row],[RPM]]/5400-1)</f>
        <v>0</v>
      </c>
      <c r="H81" s="62">
        <v>147</v>
      </c>
      <c r="I81">
        <v>2</v>
      </c>
      <c r="J81" s="66">
        <v>300000</v>
      </c>
      <c r="L81" s="66"/>
      <c r="M81" s="63">
        <f t="shared" si="6"/>
        <v>100000000000000</v>
      </c>
      <c r="N81" s="19">
        <f>12*1.73</f>
        <v>20.759999999999998</v>
      </c>
      <c r="O81" s="6">
        <v>4.0999999999999996</v>
      </c>
      <c r="P81" s="6">
        <v>3</v>
      </c>
      <c r="Q81" s="6">
        <v>0.4</v>
      </c>
      <c r="R81" s="14">
        <v>64.989999999999995</v>
      </c>
      <c r="S81" s="11">
        <f>Table5[[#This Row],[Cost]]/Table5[[#This Row],[SizTB]]</f>
        <v>32.494999999999997</v>
      </c>
      <c r="T81" s="12">
        <f>Table5[[#This Row],[Cost]]+((CompareWarrYrs-Table5[[#This Row],[Warnty]])*(Incremental_Warr_Yr*Table5[[#This Row],[Cost]]))</f>
        <v>86.436700000000002</v>
      </c>
      <c r="U81" s="7">
        <f>Table5[[#This Row],[$+Warr]]/Table5[[#This Row],[SizTB]]</f>
        <v>43.218350000000001</v>
      </c>
      <c r="V81" s="11">
        <f>Table5[[#This Row],[$PerTB]]/CompareWarrYrs</f>
        <v>8.6436700000000002</v>
      </c>
      <c r="W81" s="8"/>
      <c r="X81" s="48">
        <f>(((Table5[[#This Row],[Watts Active]]*Power_On_Hours_Year/1000)*Active_Duty_Cycle)+((Table5[[#This Row],[Watts Idle]]*Power_On_Hours_Year/1000)*(100%-Active_Duty_Cycle)))*CostPerKWH</f>
        <v>3.5282184000000001</v>
      </c>
      <c r="Y81" s="49">
        <f>Table5[[#This Row],[Energy$year]]/Table5[[#This Row],[SizTB]]</f>
        <v>1.7641092</v>
      </c>
    </row>
    <row r="82" spans="1:26">
      <c r="A82" s="1">
        <v>42960</v>
      </c>
      <c r="B82" t="s">
        <v>6</v>
      </c>
      <c r="C82" t="s">
        <v>33</v>
      </c>
      <c r="D82" s="44"/>
      <c r="E82">
        <v>5400</v>
      </c>
      <c r="F82" s="5">
        <v>3</v>
      </c>
      <c r="G82" s="2">
        <f>(Table5[[#This Row],[RPM]]/5400-1)</f>
        <v>0</v>
      </c>
      <c r="H82" s="62">
        <v>147</v>
      </c>
      <c r="I82">
        <v>2</v>
      </c>
      <c r="J82" s="66">
        <v>300000</v>
      </c>
      <c r="L82" s="66"/>
      <c r="M82" s="63">
        <f t="shared" si="6"/>
        <v>100000000000000</v>
      </c>
      <c r="N82" s="19">
        <f>12*1.73</f>
        <v>20.759999999999998</v>
      </c>
      <c r="O82" s="6">
        <v>4.0999999999999996</v>
      </c>
      <c r="P82" s="6">
        <v>3</v>
      </c>
      <c r="Q82" s="6">
        <v>0.4</v>
      </c>
      <c r="R82" s="14">
        <v>79.989999999999995</v>
      </c>
      <c r="S82" s="11">
        <f>Table5[[#This Row],[Cost]]/Table5[[#This Row],[SizTB]]</f>
        <v>26.66333333333333</v>
      </c>
      <c r="T82" s="12">
        <f>Table5[[#This Row],[Cost]]+((CompareWarrYrs-Table5[[#This Row],[Warnty]])*(Incremental_Warr_Yr*Table5[[#This Row],[Cost]]))</f>
        <v>106.38669999999999</v>
      </c>
      <c r="U82" s="7">
        <f>Table5[[#This Row],[$+Warr]]/Table5[[#This Row],[SizTB]]</f>
        <v>35.46223333333333</v>
      </c>
      <c r="V82" s="11">
        <f>Table5[[#This Row],[$PerTB]]/CompareWarrYrs</f>
        <v>7.0924466666666657</v>
      </c>
      <c r="W82" s="8"/>
      <c r="X82" s="48">
        <f>(((Table5[[#This Row],[Watts Active]]*Power_On_Hours_Year/1000)*Active_Duty_Cycle)+((Table5[[#This Row],[Watts Idle]]*Power_On_Hours_Year/1000)*(100%-Active_Duty_Cycle)))*CostPerKWH</f>
        <v>3.5282184000000001</v>
      </c>
      <c r="Y82" s="49">
        <f>Table5[[#This Row],[Energy$year]]/Table5[[#This Row],[SizTB]]</f>
        <v>1.1760728</v>
      </c>
    </row>
    <row r="83" spans="1:26">
      <c r="A83" s="1">
        <v>42960</v>
      </c>
      <c r="B83" t="s">
        <v>6</v>
      </c>
      <c r="C83" t="s">
        <v>33</v>
      </c>
      <c r="D83" s="44"/>
      <c r="E83">
        <v>5400</v>
      </c>
      <c r="F83" s="5">
        <v>4</v>
      </c>
      <c r="G83" s="2">
        <f>(Table5[[#This Row],[RPM]]/5400-1)</f>
        <v>0</v>
      </c>
      <c r="H83" s="62">
        <v>150</v>
      </c>
      <c r="I83">
        <v>2</v>
      </c>
      <c r="J83" s="66">
        <v>300000</v>
      </c>
      <c r="L83" s="66"/>
      <c r="M83" s="63">
        <f t="shared" si="6"/>
        <v>100000000000000</v>
      </c>
      <c r="N83" s="19">
        <f>12*1.75</f>
        <v>21</v>
      </c>
      <c r="O83" s="6">
        <v>5.3</v>
      </c>
      <c r="P83" s="6">
        <v>3.4</v>
      </c>
      <c r="Q83" s="6">
        <v>0.4</v>
      </c>
      <c r="R83" s="14">
        <v>112.99</v>
      </c>
      <c r="S83" s="11">
        <f>Table5[[#This Row],[Cost]]/Table5[[#This Row],[SizTB]]</f>
        <v>28.247499999999999</v>
      </c>
      <c r="T83" s="12">
        <f>Table5[[#This Row],[Cost]]+((CompareWarrYrs-Table5[[#This Row],[Warnty]])*(Incremental_Warr_Yr*Table5[[#This Row],[Cost]]))</f>
        <v>150.27670000000001</v>
      </c>
      <c r="U83" s="7">
        <f>Table5[[#This Row],[$+Warr]]/Table5[[#This Row],[SizTB]]</f>
        <v>37.569175000000001</v>
      </c>
      <c r="V83" s="11">
        <f>Table5[[#This Row],[$PerTB]]/CompareWarrYrs</f>
        <v>7.5138350000000003</v>
      </c>
      <c r="W83" s="8"/>
      <c r="X83" s="48">
        <f>(((Table5[[#This Row],[Watts Active]]*Power_On_Hours_Year/1000)*Active_Duty_Cycle)+((Table5[[#This Row],[Watts Idle]]*Power_On_Hours_Year/1000)*(100%-Active_Duty_Cycle)))*CostPerKWH</f>
        <v>4.1418216000000001</v>
      </c>
      <c r="Y83" s="49">
        <f>Table5[[#This Row],[Energy$year]]/Table5[[#This Row],[SizTB]]</f>
        <v>1.0354554</v>
      </c>
    </row>
    <row r="84" spans="1:26">
      <c r="A84" s="1">
        <v>42960</v>
      </c>
      <c r="B84" t="s">
        <v>6</v>
      </c>
      <c r="C84" t="s">
        <v>33</v>
      </c>
      <c r="D84" s="44"/>
      <c r="E84">
        <v>5400</v>
      </c>
      <c r="F84" s="5">
        <v>5</v>
      </c>
      <c r="G84" s="2">
        <f>(Table5[[#This Row],[RPM]]/5400-1)</f>
        <v>0</v>
      </c>
      <c r="H84" s="62">
        <v>170</v>
      </c>
      <c r="I84">
        <v>2</v>
      </c>
      <c r="J84" s="66">
        <v>300000</v>
      </c>
      <c r="L84" s="66"/>
      <c r="M84" s="63">
        <f t="shared" si="6"/>
        <v>100000000000000</v>
      </c>
      <c r="N84" s="19">
        <f>12*1.75</f>
        <v>21</v>
      </c>
      <c r="O84" s="6">
        <v>5.3</v>
      </c>
      <c r="P84" s="6">
        <v>3.4</v>
      </c>
      <c r="Q84" s="6">
        <v>0.4</v>
      </c>
      <c r="R84" s="14">
        <v>235.89</v>
      </c>
      <c r="S84" s="11">
        <f>Table5[[#This Row],[Cost]]/Table5[[#This Row],[SizTB]]</f>
        <v>47.177999999999997</v>
      </c>
      <c r="T84" s="12">
        <f>Table5[[#This Row],[Cost]]+((CompareWarrYrs-Table5[[#This Row],[Warnty]])*(Incremental_Warr_Yr*Table5[[#This Row],[Cost]]))</f>
        <v>313.7337</v>
      </c>
      <c r="U84" s="7">
        <f>Table5[[#This Row],[$+Warr]]/Table5[[#This Row],[SizTB]]</f>
        <v>62.746740000000003</v>
      </c>
      <c r="V84" s="11">
        <f>Table5[[#This Row],[$PerTB]]/CompareWarrYrs</f>
        <v>12.549348</v>
      </c>
      <c r="W84" s="8"/>
      <c r="X84" s="48">
        <f>(((Table5[[#This Row],[Watts Active]]*Power_On_Hours_Year/1000)*Active_Duty_Cycle)+((Table5[[#This Row],[Watts Idle]]*Power_On_Hours_Year/1000)*(100%-Active_Duty_Cycle)))*CostPerKWH</f>
        <v>4.1418216000000001</v>
      </c>
      <c r="Y84" s="49">
        <f>Table5[[#This Row],[Energy$year]]/Table5[[#This Row],[SizTB]]</f>
        <v>0.82836432000000004</v>
      </c>
    </row>
    <row r="85" spans="1:26">
      <c r="A85" s="1">
        <v>42960</v>
      </c>
      <c r="B85" t="s">
        <v>6</v>
      </c>
      <c r="C85" t="s">
        <v>33</v>
      </c>
      <c r="D85" s="44"/>
      <c r="E85">
        <v>5400</v>
      </c>
      <c r="F85" s="5">
        <v>6</v>
      </c>
      <c r="G85" s="2">
        <f>(Table5[[#This Row],[RPM]]/5400-1)</f>
        <v>0</v>
      </c>
      <c r="H85" s="62">
        <v>175</v>
      </c>
      <c r="I85">
        <v>2</v>
      </c>
      <c r="J85" s="66">
        <v>300000</v>
      </c>
      <c r="L85" s="66"/>
      <c r="M85" s="63">
        <f t="shared" si="6"/>
        <v>100000000000000</v>
      </c>
      <c r="N85" s="19">
        <f>12*1.75</f>
        <v>21</v>
      </c>
      <c r="O85" s="6">
        <v>5.3</v>
      </c>
      <c r="P85" s="6">
        <v>3.4</v>
      </c>
      <c r="Q85" s="6">
        <v>0.4</v>
      </c>
      <c r="R85" s="14">
        <f>172.01+19.99</f>
        <v>192</v>
      </c>
      <c r="S85" s="11">
        <f>Table5[[#This Row],[Cost]]/Table5[[#This Row],[SizTB]]</f>
        <v>32</v>
      </c>
      <c r="T85" s="12">
        <f>Table5[[#This Row],[Cost]]+((CompareWarrYrs-Table5[[#This Row],[Warnty]])*(Incremental_Warr_Yr*Table5[[#This Row],[Cost]]))</f>
        <v>255.36</v>
      </c>
      <c r="U85" s="7">
        <f>Table5[[#This Row],[$+Warr]]/Table5[[#This Row],[SizTB]]</f>
        <v>42.56</v>
      </c>
      <c r="V85" s="11">
        <f>Table5[[#This Row],[$PerTB]]/CompareWarrYrs</f>
        <v>8.5120000000000005</v>
      </c>
      <c r="W85" s="8"/>
      <c r="X85" s="48">
        <f>(((Table5[[#This Row],[Watts Active]]*Power_On_Hours_Year/1000)*Active_Duty_Cycle)+((Table5[[#This Row],[Watts Idle]]*Power_On_Hours_Year/1000)*(100%-Active_Duty_Cycle)))*CostPerKWH</f>
        <v>4.1418216000000001</v>
      </c>
      <c r="Y85" s="49">
        <f>Table5[[#This Row],[Energy$year]]/Table5[[#This Row],[SizTB]]</f>
        <v>0.69030360000000002</v>
      </c>
    </row>
    <row r="86" spans="1:26">
      <c r="A86" s="1">
        <v>42960</v>
      </c>
      <c r="B86" t="s">
        <v>6</v>
      </c>
      <c r="C86" t="s">
        <v>72</v>
      </c>
      <c r="D86" s="44"/>
      <c r="E86">
        <v>5400</v>
      </c>
      <c r="F86" s="5">
        <v>1</v>
      </c>
      <c r="G86" s="2">
        <f>(Table5[[#This Row],[RPM]]/5400-1)</f>
        <v>0</v>
      </c>
      <c r="H86" s="62"/>
      <c r="I86">
        <v>2</v>
      </c>
      <c r="J86" s="66">
        <v>600000</v>
      </c>
      <c r="L86" s="66"/>
      <c r="M86" s="63">
        <f t="shared" si="6"/>
        <v>100000000000000</v>
      </c>
      <c r="N86" s="19">
        <v>5</v>
      </c>
      <c r="O86" s="6">
        <v>1.5</v>
      </c>
      <c r="P86" s="6">
        <v>0.5</v>
      </c>
      <c r="Q86" s="6">
        <v>0.1</v>
      </c>
      <c r="R86" s="14">
        <v>55.99</v>
      </c>
      <c r="S86" s="11">
        <f>Table5[[#This Row],[Cost]]/Table5[[#This Row],[SizTB]]</f>
        <v>55.99</v>
      </c>
      <c r="T86" s="12">
        <f>Table5[[#This Row],[Cost]]+((CompareWarrYrs-Table5[[#This Row],[Warnty]])*(Incremental_Warr_Yr*Table5[[#This Row],[Cost]]))</f>
        <v>74.466700000000003</v>
      </c>
      <c r="U86" s="7">
        <f>Table5[[#This Row],[$+Warr]]/Table5[[#This Row],[SizTB]]</f>
        <v>74.466700000000003</v>
      </c>
      <c r="V86" s="11">
        <f>Table5[[#This Row],[$PerTB]]/CompareWarrYrs</f>
        <v>14.89334</v>
      </c>
      <c r="W86" s="8"/>
      <c r="X86" s="48">
        <f>(((Table5[[#This Row],[Watts Active]]*Power_On_Hours_Year/1000)*Active_Duty_Cycle)+((Table5[[#This Row],[Watts Idle]]*Power_On_Hours_Year/1000)*(100%-Active_Duty_Cycle)))*CostPerKWH</f>
        <v>0.76700400000000002</v>
      </c>
      <c r="Y86" s="49">
        <f>Table5[[#This Row],[Energy$year]]/Table5[[#This Row],[SizTB]]</f>
        <v>0.76700400000000002</v>
      </c>
    </row>
    <row r="87" spans="1:26">
      <c r="A87" s="1">
        <v>42960</v>
      </c>
      <c r="B87" t="s">
        <v>6</v>
      </c>
      <c r="C87" t="s">
        <v>72</v>
      </c>
      <c r="D87" s="44"/>
      <c r="E87">
        <v>5400</v>
      </c>
      <c r="F87" s="5">
        <v>2</v>
      </c>
      <c r="G87" s="2">
        <f>(Table5[[#This Row],[RPM]]/5400-1)</f>
        <v>0</v>
      </c>
      <c r="H87" s="62"/>
      <c r="I87">
        <v>2</v>
      </c>
      <c r="J87" s="66">
        <v>600000</v>
      </c>
      <c r="L87" s="66"/>
      <c r="M87" s="63">
        <f t="shared" si="6"/>
        <v>100000000000000</v>
      </c>
      <c r="N87" s="19">
        <v>5</v>
      </c>
      <c r="O87" s="6">
        <v>1.7</v>
      </c>
      <c r="P87" s="6">
        <v>0.8</v>
      </c>
      <c r="Q87" s="6">
        <v>0.2</v>
      </c>
      <c r="R87" s="14">
        <v>141.99</v>
      </c>
      <c r="S87" s="11">
        <f>Table5[[#This Row],[Cost]]/Table5[[#This Row],[SizTB]]</f>
        <v>70.995000000000005</v>
      </c>
      <c r="T87" s="12">
        <f>Table5[[#This Row],[Cost]]+((CompareWarrYrs-Table5[[#This Row],[Warnty]])*(Incremental_Warr_Yr*Table5[[#This Row],[Cost]]))</f>
        <v>188.8467</v>
      </c>
      <c r="U87" s="7">
        <f>Table5[[#This Row],[$+Warr]]/Table5[[#This Row],[SizTB]]</f>
        <v>94.423349999999999</v>
      </c>
      <c r="V87" s="11">
        <f>Table5[[#This Row],[$PerTB]]/CompareWarrYrs</f>
        <v>18.88467</v>
      </c>
      <c r="W87" s="8"/>
      <c r="X87" s="48">
        <f>(((Table5[[#This Row],[Watts Active]]*Power_On_Hours_Year/1000)*Active_Duty_Cycle)+((Table5[[#This Row],[Watts Idle]]*Power_On_Hours_Year/1000)*(100%-Active_Duty_Cycle)))*CostPerKWH</f>
        <v>1.0738056</v>
      </c>
      <c r="Y87" s="49">
        <f>Table5[[#This Row],[Energy$year]]/Table5[[#This Row],[SizTB]]</f>
        <v>0.53690280000000001</v>
      </c>
    </row>
    <row r="88" spans="1:26">
      <c r="A88" s="1">
        <v>42884</v>
      </c>
      <c r="B88" t="s">
        <v>6</v>
      </c>
      <c r="C88" t="s">
        <v>75</v>
      </c>
      <c r="D88" s="44" t="s">
        <v>65</v>
      </c>
      <c r="E88">
        <v>7200</v>
      </c>
      <c r="F88" s="5">
        <v>1</v>
      </c>
      <c r="G88" s="2">
        <f>(Table5[[#This Row],[RPM]]/5400-1)</f>
        <v>0.33333333333333326</v>
      </c>
      <c r="H88" s="62">
        <v>184</v>
      </c>
      <c r="I88">
        <v>5</v>
      </c>
      <c r="J88" s="66">
        <v>600000</v>
      </c>
      <c r="K88">
        <v>550</v>
      </c>
      <c r="L88" s="66">
        <v>2000000</v>
      </c>
      <c r="M88" s="63">
        <v>1000000000000000</v>
      </c>
      <c r="N88" s="19"/>
      <c r="O88" s="6">
        <v>8.1</v>
      </c>
      <c r="P88" s="6">
        <v>5.9</v>
      </c>
      <c r="Q88" s="6"/>
      <c r="R88" s="14">
        <v>86.99</v>
      </c>
      <c r="S88" s="11">
        <f>Table5[[#This Row],[Cost]]/Table5[[#This Row],[SizTB]]</f>
        <v>86.99</v>
      </c>
      <c r="T88" s="12">
        <f>Table5[[#This Row],[Cost]]+((CompareWarrYrs-Table5[[#This Row],[Warnty]])*(Incremental_Warr_Yr*Table5[[#This Row],[Cost]]))</f>
        <v>86.99</v>
      </c>
      <c r="U88" s="7">
        <f>Table5[[#This Row],[$+Warr]]/Table5[[#This Row],[SizTB]]</f>
        <v>86.99</v>
      </c>
      <c r="V88" s="11">
        <f>Table5[[#This Row],[$PerTB]]/CompareWarrYrs</f>
        <v>17.398</v>
      </c>
      <c r="W88" s="8"/>
      <c r="X88" s="48">
        <f>(((Table5[[#This Row],[Watts Active]]*Power_On_Hours_Year/1000)*Active_Duty_Cycle)+((Table5[[#This Row],[Watts Idle]]*Power_On_Hours_Year/1000)*(100%-Active_Duty_Cycle)))*CostPerKWH</f>
        <v>6.9468648000000002</v>
      </c>
      <c r="Y88" s="49">
        <f>Table5[[#This Row],[Energy$year]]/Table5[[#This Row],[SizTB]]</f>
        <v>6.9468648000000002</v>
      </c>
    </row>
    <row r="89" spans="1:26">
      <c r="A89" s="1">
        <v>42884</v>
      </c>
      <c r="B89" t="s">
        <v>6</v>
      </c>
      <c r="C89" t="s">
        <v>75</v>
      </c>
      <c r="D89" s="44" t="s">
        <v>65</v>
      </c>
      <c r="E89">
        <v>7200</v>
      </c>
      <c r="F89" s="5">
        <v>2</v>
      </c>
      <c r="G89" s="2">
        <f>(Table5[[#This Row],[RPM]]/5400-1)</f>
        <v>0.33333333333333326</v>
      </c>
      <c r="H89" s="62">
        <v>200</v>
      </c>
      <c r="I89">
        <v>5</v>
      </c>
      <c r="J89" s="66">
        <v>600000</v>
      </c>
      <c r="K89">
        <v>550</v>
      </c>
      <c r="L89" s="66">
        <v>2000000</v>
      </c>
      <c r="M89" s="63">
        <v>1000000000000000</v>
      </c>
      <c r="N89" s="19"/>
      <c r="O89" s="6">
        <v>8.1</v>
      </c>
      <c r="P89" s="6">
        <v>5.9</v>
      </c>
      <c r="Q89" s="6"/>
      <c r="R89" s="14">
        <v>134.99</v>
      </c>
      <c r="S89" s="11">
        <f>Table5[[#This Row],[Cost]]/Table5[[#This Row],[SizTB]]</f>
        <v>67.495000000000005</v>
      </c>
      <c r="T89" s="12">
        <f>Table5[[#This Row],[Cost]]+((CompareWarrYrs-Table5[[#This Row],[Warnty]])*(Incremental_Warr_Yr*Table5[[#This Row],[Cost]]))</f>
        <v>134.99</v>
      </c>
      <c r="U89" s="7">
        <f>Table5[[#This Row],[$+Warr]]/Table5[[#This Row],[SizTB]]</f>
        <v>67.495000000000005</v>
      </c>
      <c r="V89" s="11">
        <f>Table5[[#This Row],[$PerTB]]/CompareWarrYrs</f>
        <v>13.499000000000001</v>
      </c>
      <c r="W89" s="8"/>
      <c r="X89" s="48">
        <f>(((Table5[[#This Row],[Watts Active]]*Power_On_Hours_Year/1000)*Active_Duty_Cycle)+((Table5[[#This Row],[Watts Idle]]*Power_On_Hours_Year/1000)*(100%-Active_Duty_Cycle)))*CostPerKWH</f>
        <v>6.9468648000000002</v>
      </c>
      <c r="Y89" s="49">
        <f>Table5[[#This Row],[Energy$year]]/Table5[[#This Row],[SizTB]]</f>
        <v>3.4734324000000001</v>
      </c>
    </row>
    <row r="90" spans="1:26">
      <c r="A90" s="1">
        <v>42895</v>
      </c>
      <c r="B90" t="s">
        <v>6</v>
      </c>
      <c r="C90" t="s">
        <v>75</v>
      </c>
      <c r="D90" s="44" t="s">
        <v>65</v>
      </c>
      <c r="E90">
        <v>7200</v>
      </c>
      <c r="F90" s="5">
        <v>4</v>
      </c>
      <c r="G90" s="2">
        <f>(Table5[[#This Row],[RPM]]/5400-1)</f>
        <v>0.33333333333333326</v>
      </c>
      <c r="H90" s="62">
        <v>201</v>
      </c>
      <c r="I90">
        <v>5</v>
      </c>
      <c r="J90" s="66">
        <v>600000</v>
      </c>
      <c r="K90">
        <v>550</v>
      </c>
      <c r="L90" s="66">
        <v>2000000</v>
      </c>
      <c r="M90" s="63">
        <v>1000000000000000</v>
      </c>
      <c r="N90" s="19"/>
      <c r="O90" s="6">
        <v>9</v>
      </c>
      <c r="P90" s="6">
        <v>7</v>
      </c>
      <c r="Q90" s="6"/>
      <c r="R90" s="14">
        <v>187.99</v>
      </c>
      <c r="S90" s="11">
        <f>Table5[[#This Row],[Cost]]/Table5[[#This Row],[SizTB]]</f>
        <v>46.997500000000002</v>
      </c>
      <c r="T90" s="12">
        <f>Table5[[#This Row],[Cost]]+((CompareWarrYrs-Table5[[#This Row],[Warnty]])*(Incremental_Warr_Yr*Table5[[#This Row],[Cost]]))</f>
        <v>187.99</v>
      </c>
      <c r="U90" s="7">
        <f>Table5[[#This Row],[$+Warr]]/Table5[[#This Row],[SizTB]]</f>
        <v>46.997500000000002</v>
      </c>
      <c r="V90" s="11">
        <f>Table5[[#This Row],[$PerTB]]/CompareWarrYrs</f>
        <v>9.3994999999999997</v>
      </c>
      <c r="W90" s="8"/>
      <c r="X90" s="48">
        <f>(((Table5[[#This Row],[Watts Active]]*Power_On_Hours_Year/1000)*Active_Duty_Cycle)+((Table5[[#This Row],[Watts Idle]]*Power_On_Hours_Year/1000)*(100%-Active_Duty_Cycle)))*CostPerKWH</f>
        <v>8.1083280000000002</v>
      </c>
      <c r="Y90" s="49">
        <f>Table5[[#This Row],[Energy$year]]/Table5[[#This Row],[SizTB]]</f>
        <v>2.0270820000000001</v>
      </c>
    </row>
    <row r="91" spans="1:26">
      <c r="A91" s="1">
        <v>42846</v>
      </c>
      <c r="B91" t="s">
        <v>6</v>
      </c>
      <c r="C91" t="s">
        <v>75</v>
      </c>
      <c r="D91" s="44" t="s">
        <v>65</v>
      </c>
      <c r="E91">
        <v>7200</v>
      </c>
      <c r="F91" s="5">
        <v>6</v>
      </c>
      <c r="G91" s="2">
        <f>(Table5[[#This Row],[RPM]]/5400-1)</f>
        <v>0.33333333333333326</v>
      </c>
      <c r="H91" s="62">
        <v>226</v>
      </c>
      <c r="I91">
        <v>5</v>
      </c>
      <c r="J91" s="66">
        <v>600000</v>
      </c>
      <c r="K91">
        <v>550</v>
      </c>
      <c r="L91" s="66">
        <v>2000000</v>
      </c>
      <c r="M91" s="63">
        <v>1000000000000000</v>
      </c>
      <c r="N91" s="19"/>
      <c r="O91" s="6">
        <v>9.3000000000000007</v>
      </c>
      <c r="P91" s="6">
        <v>7.1</v>
      </c>
      <c r="Q91" s="6"/>
      <c r="R91" s="14">
        <v>269.99</v>
      </c>
      <c r="S91" s="11">
        <f>Table5[[#This Row],[Cost]]/Table5[[#This Row],[SizTB]]</f>
        <v>44.998333333333335</v>
      </c>
      <c r="T91" s="12">
        <f>Table5[[#This Row],[Cost]]+((CompareWarrYrs-Table5[[#This Row],[Warnty]])*(Incremental_Warr_Yr*Table5[[#This Row],[Cost]]))</f>
        <v>269.99</v>
      </c>
      <c r="U91" s="7">
        <f>Table5[[#This Row],[$+Warr]]/Table5[[#This Row],[SizTB]]</f>
        <v>44.998333333333335</v>
      </c>
      <c r="V91" s="11">
        <f>Table5[[#This Row],[$PerTB]]/CompareWarrYrs</f>
        <v>8.9996666666666663</v>
      </c>
      <c r="W91" s="8"/>
      <c r="X91" s="48">
        <f>(((Table5[[#This Row],[Watts Active]]*Power_On_Hours_Year/1000)*Active_Duty_Cycle)+((Table5[[#This Row],[Watts Idle]]*Power_On_Hours_Year/1000)*(100%-Active_Duty_Cycle)))*CostPerKWH</f>
        <v>8.2617288000000002</v>
      </c>
      <c r="Y91" s="49">
        <f>Table5[[#This Row],[Energy$year]]/Table5[[#This Row],[SizTB]]</f>
        <v>1.3769548</v>
      </c>
      <c r="Z91" t="s">
        <v>46</v>
      </c>
    </row>
    <row r="92" spans="1:26">
      <c r="A92" s="1">
        <v>42884</v>
      </c>
      <c r="B92" t="s">
        <v>6</v>
      </c>
      <c r="C92" t="s">
        <v>75</v>
      </c>
      <c r="D92" s="44" t="s">
        <v>65</v>
      </c>
      <c r="E92">
        <v>7200</v>
      </c>
      <c r="F92" s="5">
        <v>8</v>
      </c>
      <c r="G92" s="2">
        <f>(Table5[[#This Row],[RPM]]/5400-1)</f>
        <v>0.33333333333333326</v>
      </c>
      <c r="H92" s="62">
        <v>205</v>
      </c>
      <c r="I92">
        <v>5</v>
      </c>
      <c r="J92" s="66">
        <v>600000</v>
      </c>
      <c r="K92">
        <v>550</v>
      </c>
      <c r="L92" s="66">
        <v>2500000</v>
      </c>
      <c r="M92" s="63">
        <v>1000000000000000</v>
      </c>
      <c r="N92" s="19"/>
      <c r="O92" s="6">
        <v>7.2</v>
      </c>
      <c r="P92" s="6">
        <v>5.0999999999999996</v>
      </c>
      <c r="Q92" s="6"/>
      <c r="R92" s="14">
        <v>379.99</v>
      </c>
      <c r="S92" s="11">
        <f>Table5[[#This Row],[Cost]]/Table5[[#This Row],[SizTB]]</f>
        <v>47.498750000000001</v>
      </c>
      <c r="T92" s="12">
        <f>Table5[[#This Row],[Cost]]+((CompareWarrYrs-Table5[[#This Row],[Warnty]])*(Incremental_Warr_Yr*Table5[[#This Row],[Cost]]))</f>
        <v>379.99</v>
      </c>
      <c r="U92" s="7">
        <f>Table5[[#This Row],[$+Warr]]/Table5[[#This Row],[SizTB]]</f>
        <v>47.498750000000001</v>
      </c>
      <c r="V92" s="11">
        <f>Table5[[#This Row],[$PerTB]]/CompareWarrYrs</f>
        <v>9.4997500000000006</v>
      </c>
      <c r="W92" s="8"/>
      <c r="X92" s="48">
        <f>(((Table5[[#This Row],[Watts Active]]*Power_On_Hours_Year/1000)*Active_Duty_Cycle)+((Table5[[#This Row],[Watts Idle]]*Power_On_Hours_Year/1000)*(100%-Active_Duty_Cycle)))*CostPerKWH</f>
        <v>6.0483743999999993</v>
      </c>
      <c r="Y92" s="49">
        <f>Table5[[#This Row],[Energy$year]]/Table5[[#This Row],[SizTB]]</f>
        <v>0.75604679999999991</v>
      </c>
      <c r="Z92" t="s">
        <v>47</v>
      </c>
    </row>
    <row r="93" spans="1:26">
      <c r="A93" s="1">
        <v>42884</v>
      </c>
      <c r="B93" t="s">
        <v>6</v>
      </c>
      <c r="C93" t="s">
        <v>75</v>
      </c>
      <c r="D93" s="44" t="s">
        <v>65</v>
      </c>
      <c r="E93">
        <v>7200</v>
      </c>
      <c r="F93" s="5">
        <v>10</v>
      </c>
      <c r="G93" s="2">
        <f>(Table5[[#This Row],[RPM]]/5400-1)</f>
        <v>0.33333333333333326</v>
      </c>
      <c r="H93" s="62">
        <v>249</v>
      </c>
      <c r="I93">
        <v>5</v>
      </c>
      <c r="J93" s="66">
        <v>600000</v>
      </c>
      <c r="K93">
        <v>550</v>
      </c>
      <c r="L93" s="66">
        <v>2500000</v>
      </c>
      <c r="M93" s="63">
        <v>1000000000000000</v>
      </c>
      <c r="N93" s="19"/>
      <c r="O93" s="6">
        <v>7.1</v>
      </c>
      <c r="P93" s="6">
        <v>5</v>
      </c>
      <c r="Q93" s="6"/>
      <c r="R93" s="14">
        <v>414.99</v>
      </c>
      <c r="S93" s="11">
        <f>Table5[[#This Row],[Cost]]/Table5[[#This Row],[SizTB]]</f>
        <v>41.499000000000002</v>
      </c>
      <c r="T93" s="12">
        <f>Table5[[#This Row],[Cost]]+((CompareWarrYrs-Table5[[#This Row],[Warnty]])*(Incremental_Warr_Yr*Table5[[#This Row],[Cost]]))</f>
        <v>414.99</v>
      </c>
      <c r="U93" s="7">
        <f>Table5[[#This Row],[$+Warr]]/Table5[[#This Row],[SizTB]]</f>
        <v>41.499000000000002</v>
      </c>
      <c r="V93" s="11">
        <f>Table5[[#This Row],[$PerTB]]/CompareWarrYrs</f>
        <v>8.2998000000000012</v>
      </c>
      <c r="W93" s="8"/>
      <c r="X93" s="48">
        <f>(((Table5[[#This Row],[Watts Active]]*Power_On_Hours_Year/1000)*Active_Duty_Cycle)+((Table5[[#This Row],[Watts Idle]]*Power_On_Hours_Year/1000)*(100%-Active_Duty_Cycle)))*CostPerKWH</f>
        <v>5.9388024000000001</v>
      </c>
      <c r="Y93" s="49">
        <f>Table5[[#This Row],[Energy$year]]/Table5[[#This Row],[SizTB]]</f>
        <v>0.59388024000000006</v>
      </c>
      <c r="Z93" t="s">
        <v>47</v>
      </c>
    </row>
    <row r="94" spans="1:26">
      <c r="A94" s="1">
        <v>42959</v>
      </c>
      <c r="B94" t="s">
        <v>6</v>
      </c>
      <c r="C94" t="s">
        <v>73</v>
      </c>
      <c r="D94" s="44" t="s">
        <v>65</v>
      </c>
      <c r="E94">
        <v>5400</v>
      </c>
      <c r="F94" s="5">
        <v>1</v>
      </c>
      <c r="G94" s="2">
        <f>(Table5[[#This Row],[RPM]]/5400-1)</f>
        <v>0</v>
      </c>
      <c r="H94" s="62">
        <v>150</v>
      </c>
      <c r="I94">
        <v>3</v>
      </c>
      <c r="J94" s="66">
        <v>600000</v>
      </c>
      <c r="K94">
        <v>180</v>
      </c>
      <c r="L94" s="66">
        <v>1000000</v>
      </c>
      <c r="M94" s="63">
        <f>10^14</f>
        <v>100000000000000</v>
      </c>
      <c r="N94" s="19">
        <f>12*1.2</f>
        <v>14.399999999999999</v>
      </c>
      <c r="O94" s="6">
        <v>3.3</v>
      </c>
      <c r="P94" s="6">
        <v>2.2999999999999998</v>
      </c>
      <c r="Q94" s="6">
        <v>0.4</v>
      </c>
      <c r="R94" s="14">
        <v>62.99</v>
      </c>
      <c r="S94" s="11">
        <f>Table5[[#This Row],[Cost]]/Table5[[#This Row],[SizTB]]</f>
        <v>62.99</v>
      </c>
      <c r="T94" s="12">
        <f>Table5[[#This Row],[Cost]]+((CompareWarrYrs-Table5[[#This Row],[Warnty]])*(Incremental_Warr_Yr*Table5[[#This Row],[Cost]]))</f>
        <v>76.847800000000007</v>
      </c>
      <c r="U94" s="7">
        <f>Table5[[#This Row],[$+Warr]]/Table5[[#This Row],[SizTB]]</f>
        <v>76.847800000000007</v>
      </c>
      <c r="V94" s="11">
        <f>Table5[[#This Row],[$PerTB]]/CompareWarrYrs</f>
        <v>15.369560000000002</v>
      </c>
      <c r="W94" s="8"/>
      <c r="X94" s="48">
        <f>(((Table5[[#This Row],[Watts Active]]*Power_On_Hours_Year/1000)*Active_Duty_Cycle)+((Table5[[#This Row],[Watts Idle]]*Power_On_Hours_Year/1000)*(100%-Active_Duty_Cycle)))*CostPerKWH</f>
        <v>2.7393000000000001</v>
      </c>
      <c r="Y94" s="49">
        <f>Table5[[#This Row],[Energy$year]]/Table5[[#This Row],[SizTB]]</f>
        <v>2.7393000000000001</v>
      </c>
    </row>
    <row r="95" spans="1:26">
      <c r="A95" s="1">
        <v>42959</v>
      </c>
      <c r="B95" t="s">
        <v>6</v>
      </c>
      <c r="C95" t="s">
        <v>73</v>
      </c>
      <c r="D95" s="44" t="s">
        <v>65</v>
      </c>
      <c r="E95">
        <v>5400</v>
      </c>
      <c r="F95" s="5">
        <v>2</v>
      </c>
      <c r="G95" s="2">
        <f>(Table5[[#This Row],[RPM]]/5400-1)</f>
        <v>0</v>
      </c>
      <c r="H95" s="62">
        <v>147</v>
      </c>
      <c r="I95">
        <v>3</v>
      </c>
      <c r="J95" s="66">
        <v>600000</v>
      </c>
      <c r="K95">
        <v>180</v>
      </c>
      <c r="L95" s="66">
        <v>1000000</v>
      </c>
      <c r="M95" s="63">
        <f t="shared" ref="M95:M102" si="7">10^14</f>
        <v>100000000000000</v>
      </c>
      <c r="N95" s="19">
        <f>12*1.73</f>
        <v>20.759999999999998</v>
      </c>
      <c r="O95" s="6">
        <v>4.0999999999999996</v>
      </c>
      <c r="P95" s="6">
        <v>2.7</v>
      </c>
      <c r="Q95" s="6">
        <v>0.4</v>
      </c>
      <c r="R95" s="14">
        <v>84.99</v>
      </c>
      <c r="S95" s="11">
        <f>Table5[[#This Row],[Cost]]/Table5[[#This Row],[SizTB]]</f>
        <v>42.494999999999997</v>
      </c>
      <c r="T95" s="12">
        <f>Table5[[#This Row],[Cost]]+((CompareWarrYrs-Table5[[#This Row],[Warnty]])*(Incremental_Warr_Yr*Table5[[#This Row],[Cost]]))</f>
        <v>103.6878</v>
      </c>
      <c r="U95" s="7">
        <f>Table5[[#This Row],[$+Warr]]/Table5[[#This Row],[SizTB]]</f>
        <v>51.843899999999998</v>
      </c>
      <c r="V95" s="11">
        <f>Table5[[#This Row],[$PerTB]]/CompareWarrYrs</f>
        <v>10.368779999999999</v>
      </c>
      <c r="W95" s="8"/>
      <c r="X95" s="48">
        <f>(((Table5[[#This Row],[Watts Active]]*Power_On_Hours_Year/1000)*Active_Duty_Cycle)+((Table5[[#This Row],[Watts Idle]]*Power_On_Hours_Year/1000)*(100%-Active_Duty_Cycle)))*CostPerKWH</f>
        <v>3.2652456000000005</v>
      </c>
      <c r="Y95" s="49">
        <f>Table5[[#This Row],[Energy$year]]/Table5[[#This Row],[SizTB]]</f>
        <v>1.6326228000000003</v>
      </c>
    </row>
    <row r="96" spans="1:26">
      <c r="A96" s="1">
        <v>42960</v>
      </c>
      <c r="B96" t="s">
        <v>6</v>
      </c>
      <c r="C96" t="s">
        <v>73</v>
      </c>
      <c r="D96" s="44" t="s">
        <v>65</v>
      </c>
      <c r="E96">
        <v>5400</v>
      </c>
      <c r="F96" s="5">
        <v>3</v>
      </c>
      <c r="G96" s="2">
        <f>(Table5[[#This Row],[RPM]]/5400-1)</f>
        <v>0</v>
      </c>
      <c r="H96" s="62">
        <v>147</v>
      </c>
      <c r="I96">
        <v>3</v>
      </c>
      <c r="J96" s="66">
        <v>600000</v>
      </c>
      <c r="K96">
        <v>180</v>
      </c>
      <c r="L96" s="66">
        <v>1000000</v>
      </c>
      <c r="M96" s="63">
        <f t="shared" si="7"/>
        <v>100000000000000</v>
      </c>
      <c r="N96" s="19">
        <f>12*1.73</f>
        <v>20.759999999999998</v>
      </c>
      <c r="O96" s="6">
        <v>4.0999999999999996</v>
      </c>
      <c r="P96" s="6">
        <v>2.7</v>
      </c>
      <c r="Q96" s="6">
        <v>0.4</v>
      </c>
      <c r="R96" s="14">
        <v>109.99</v>
      </c>
      <c r="S96" s="11">
        <f>Table5[[#This Row],[Cost]]/Table5[[#This Row],[SizTB]]</f>
        <v>36.663333333333334</v>
      </c>
      <c r="T96" s="12">
        <f>Table5[[#This Row],[Cost]]+((CompareWarrYrs-Table5[[#This Row],[Warnty]])*(Incremental_Warr_Yr*Table5[[#This Row],[Cost]]))</f>
        <v>134.18779999999998</v>
      </c>
      <c r="U96" s="7">
        <f>Table5[[#This Row],[$+Warr]]/Table5[[#This Row],[SizTB]]</f>
        <v>44.729266666666661</v>
      </c>
      <c r="V96" s="11">
        <f>Table5[[#This Row],[$PerTB]]/CompareWarrYrs</f>
        <v>8.9458533333333321</v>
      </c>
      <c r="W96" s="8"/>
      <c r="X96" s="48">
        <f>(((Table5[[#This Row],[Watts Active]]*Power_On_Hours_Year/1000)*Active_Duty_Cycle)+((Table5[[#This Row],[Watts Idle]]*Power_On_Hours_Year/1000)*(100%-Active_Duty_Cycle)))*CostPerKWH</f>
        <v>3.2652456000000005</v>
      </c>
      <c r="Y96" s="49">
        <f>Table5[[#This Row],[Energy$year]]/Table5[[#This Row],[SizTB]]</f>
        <v>1.0884152000000002</v>
      </c>
    </row>
    <row r="97" spans="1:25">
      <c r="A97" s="1">
        <v>42960</v>
      </c>
      <c r="B97" t="s">
        <v>6</v>
      </c>
      <c r="C97" t="s">
        <v>73</v>
      </c>
      <c r="D97" s="44" t="s">
        <v>65</v>
      </c>
      <c r="E97">
        <v>5400</v>
      </c>
      <c r="F97" s="5">
        <v>4</v>
      </c>
      <c r="G97" s="2">
        <f>(Table5[[#This Row],[RPM]]/5400-1)</f>
        <v>0</v>
      </c>
      <c r="H97" s="62">
        <v>150</v>
      </c>
      <c r="I97">
        <v>3</v>
      </c>
      <c r="J97" s="66">
        <v>600000</v>
      </c>
      <c r="K97">
        <v>180</v>
      </c>
      <c r="L97" s="66">
        <v>1000000</v>
      </c>
      <c r="M97" s="63">
        <f t="shared" si="7"/>
        <v>100000000000000</v>
      </c>
      <c r="N97" s="19">
        <f>12*1.75</f>
        <v>21</v>
      </c>
      <c r="O97" s="6">
        <v>4.5</v>
      </c>
      <c r="P97" s="6">
        <v>3.3</v>
      </c>
      <c r="Q97" s="6">
        <v>0.4</v>
      </c>
      <c r="R97" s="14">
        <v>137.05000000000001</v>
      </c>
      <c r="S97" s="11">
        <f>Table5[[#This Row],[Cost]]/Table5[[#This Row],[SizTB]]</f>
        <v>34.262500000000003</v>
      </c>
      <c r="T97" s="12">
        <f>Table5[[#This Row],[Cost]]+((CompareWarrYrs-Table5[[#This Row],[Warnty]])*(Incremental_Warr_Yr*Table5[[#This Row],[Cost]]))</f>
        <v>167.20100000000002</v>
      </c>
      <c r="U97" s="7">
        <f>Table5[[#This Row],[$+Warr]]/Table5[[#This Row],[SizTB]]</f>
        <v>41.800250000000005</v>
      </c>
      <c r="V97" s="11">
        <f>Table5[[#This Row],[$PerTB]]/CompareWarrYrs</f>
        <v>8.3600500000000011</v>
      </c>
      <c r="W97" s="8"/>
      <c r="X97" s="48">
        <f>(((Table5[[#This Row],[Watts Active]]*Power_On_Hours_Year/1000)*Active_Duty_Cycle)+((Table5[[#This Row],[Watts Idle]]*Power_On_Hours_Year/1000)*(100%-Active_Duty_Cycle)))*CostPerKWH</f>
        <v>3.8788488000000001</v>
      </c>
      <c r="Y97" s="49">
        <f>Table5[[#This Row],[Energy$year]]/Table5[[#This Row],[SizTB]]</f>
        <v>0.96971220000000002</v>
      </c>
    </row>
    <row r="98" spans="1:25">
      <c r="A98" s="1">
        <v>42842</v>
      </c>
      <c r="B98" t="s">
        <v>6</v>
      </c>
      <c r="C98" t="s">
        <v>73</v>
      </c>
      <c r="D98" s="44" t="s">
        <v>65</v>
      </c>
      <c r="E98">
        <v>5400</v>
      </c>
      <c r="F98" s="5">
        <v>5</v>
      </c>
      <c r="G98" s="2">
        <f>(Table5[[#This Row],[RPM]]/5400-1)</f>
        <v>0</v>
      </c>
      <c r="H98" s="62"/>
      <c r="I98">
        <v>3</v>
      </c>
      <c r="J98" s="66">
        <v>600000</v>
      </c>
      <c r="K98">
        <v>180</v>
      </c>
      <c r="L98" s="66">
        <v>1000000</v>
      </c>
      <c r="M98" s="63">
        <f t="shared" si="7"/>
        <v>100000000000000</v>
      </c>
      <c r="N98" s="19">
        <f>12*1.75</f>
        <v>21</v>
      </c>
      <c r="O98" s="6">
        <v>5.3</v>
      </c>
      <c r="P98" s="6">
        <v>3.4</v>
      </c>
      <c r="Q98" s="6">
        <v>0.4</v>
      </c>
      <c r="R98" s="14">
        <v>281.86</v>
      </c>
      <c r="S98" s="11">
        <f>Table5[[#This Row],[Cost]]/Table5[[#This Row],[SizTB]]</f>
        <v>56.372</v>
      </c>
      <c r="T98" s="12">
        <f>Table5[[#This Row],[Cost]]+((CompareWarrYrs-Table5[[#This Row],[Warnty]])*(Incremental_Warr_Yr*Table5[[#This Row],[Cost]]))</f>
        <v>343.86920000000003</v>
      </c>
      <c r="U98" s="7">
        <f>Table5[[#This Row],[$+Warr]]/Table5[[#This Row],[SizTB]]</f>
        <v>68.773840000000007</v>
      </c>
      <c r="V98" s="11">
        <f>Table5[[#This Row],[$PerTB]]/CompareWarrYrs</f>
        <v>13.754768000000002</v>
      </c>
      <c r="W98" s="8"/>
      <c r="X98" s="48">
        <f>(((Table5[[#This Row],[Watts Active]]*Power_On_Hours_Year/1000)*Active_Duty_Cycle)+((Table5[[#This Row],[Watts Idle]]*Power_On_Hours_Year/1000)*(100%-Active_Duty_Cycle)))*CostPerKWH</f>
        <v>4.1418216000000001</v>
      </c>
      <c r="Y98" s="49">
        <f>Table5[[#This Row],[Energy$year]]/Table5[[#This Row],[SizTB]]</f>
        <v>0.82836432000000004</v>
      </c>
    </row>
    <row r="99" spans="1:25">
      <c r="A99" s="1">
        <v>42960</v>
      </c>
      <c r="B99" t="s">
        <v>6</v>
      </c>
      <c r="C99" t="s">
        <v>73</v>
      </c>
      <c r="D99" s="44" t="s">
        <v>65</v>
      </c>
      <c r="E99">
        <v>5400</v>
      </c>
      <c r="F99" s="5">
        <v>6</v>
      </c>
      <c r="G99" s="2">
        <f>(Table5[[#This Row],[RPM]]/5400-1)</f>
        <v>0</v>
      </c>
      <c r="H99" s="62">
        <v>175</v>
      </c>
      <c r="I99">
        <v>3</v>
      </c>
      <c r="J99" s="66">
        <v>600000</v>
      </c>
      <c r="K99">
        <v>180</v>
      </c>
      <c r="L99" s="66">
        <v>1000000</v>
      </c>
      <c r="M99" s="63">
        <f t="shared" si="7"/>
        <v>100000000000000</v>
      </c>
      <c r="N99" s="19">
        <f>12*1.75</f>
        <v>21</v>
      </c>
      <c r="O99" s="6">
        <v>5.3</v>
      </c>
      <c r="P99" s="6">
        <v>3.4</v>
      </c>
      <c r="Q99" s="6">
        <v>0.4</v>
      </c>
      <c r="R99" s="14">
        <v>214.99</v>
      </c>
      <c r="S99" s="11">
        <f>Table5[[#This Row],[Cost]]/Table5[[#This Row],[SizTB]]</f>
        <v>35.831666666666671</v>
      </c>
      <c r="T99" s="12">
        <f>Table5[[#This Row],[Cost]]+((CompareWarrYrs-Table5[[#This Row],[Warnty]])*(Incremental_Warr_Yr*Table5[[#This Row],[Cost]]))</f>
        <v>262.2878</v>
      </c>
      <c r="U99" s="7">
        <f>Table5[[#This Row],[$+Warr]]/Table5[[#This Row],[SizTB]]</f>
        <v>43.714633333333332</v>
      </c>
      <c r="V99" s="11">
        <f>Table5[[#This Row],[$PerTB]]/CompareWarrYrs</f>
        <v>8.7429266666666656</v>
      </c>
      <c r="W99" s="8"/>
      <c r="X99" s="48">
        <f>(((Table5[[#This Row],[Watts Active]]*Power_On_Hours_Year/1000)*Active_Duty_Cycle)+((Table5[[#This Row],[Watts Idle]]*Power_On_Hours_Year/1000)*(100%-Active_Duty_Cycle)))*CostPerKWH</f>
        <v>4.1418216000000001</v>
      </c>
      <c r="Y99" s="49">
        <f>Table5[[#This Row],[Energy$year]]/Table5[[#This Row],[SizTB]]</f>
        <v>0.69030360000000002</v>
      </c>
    </row>
    <row r="100" spans="1:25">
      <c r="A100" s="1">
        <v>42961</v>
      </c>
      <c r="B100" t="s">
        <v>6</v>
      </c>
      <c r="C100" t="s">
        <v>73</v>
      </c>
      <c r="D100" s="44" t="s">
        <v>65</v>
      </c>
      <c r="E100">
        <v>5400</v>
      </c>
      <c r="F100" s="5">
        <v>8</v>
      </c>
      <c r="G100" s="2">
        <f>(Table5[[#This Row],[RPM]]/5400-1)</f>
        <v>0</v>
      </c>
      <c r="H100" s="62">
        <v>178</v>
      </c>
      <c r="I100">
        <v>3</v>
      </c>
      <c r="J100" s="66">
        <v>600000</v>
      </c>
      <c r="K100">
        <v>180</v>
      </c>
      <c r="L100" s="66">
        <v>1000000</v>
      </c>
      <c r="M100" s="63">
        <f t="shared" si="7"/>
        <v>100000000000000</v>
      </c>
      <c r="N100" s="19">
        <f>12*1.79</f>
        <v>21.48</v>
      </c>
      <c r="O100" s="6">
        <v>6.4</v>
      </c>
      <c r="P100" s="6">
        <v>5.2</v>
      </c>
      <c r="Q100" s="6">
        <v>0.7</v>
      </c>
      <c r="R100" s="14">
        <v>259.99</v>
      </c>
      <c r="S100" s="11">
        <f>Table5[[#This Row],[Cost]]/Table5[[#This Row],[SizTB]]</f>
        <v>32.498750000000001</v>
      </c>
      <c r="T100" s="12">
        <f>Table5[[#This Row],[Cost]]+((CompareWarrYrs-Table5[[#This Row],[Warnty]])*(Incremental_Warr_Yr*Table5[[#This Row],[Cost]]))</f>
        <v>317.18780000000004</v>
      </c>
      <c r="U100" s="7">
        <f>Table5[[#This Row],[$+Warr]]/Table5[[#This Row],[SizTB]]</f>
        <v>39.648475000000005</v>
      </c>
      <c r="V100" s="11">
        <f>Table5[[#This Row],[$PerTB]]/CompareWarrYrs</f>
        <v>7.9296950000000006</v>
      </c>
      <c r="W100" s="8"/>
      <c r="X100" s="48">
        <f>(((Table5[[#This Row],[Watts Active]]*Power_On_Hours_Year/1000)*Active_Duty_Cycle)+((Table5[[#This Row],[Watts Idle]]*Power_On_Hours_Year/1000)*(100%-Active_Duty_Cycle)))*CostPerKWH</f>
        <v>5.960716800000001</v>
      </c>
      <c r="Y100" s="49">
        <f>Table5[[#This Row],[Energy$year]]/Table5[[#This Row],[SizTB]]</f>
        <v>0.74508960000000013</v>
      </c>
    </row>
    <row r="101" spans="1:25">
      <c r="A101" s="1">
        <v>42960</v>
      </c>
      <c r="B101" t="s">
        <v>6</v>
      </c>
      <c r="C101" t="s">
        <v>73</v>
      </c>
      <c r="D101" s="44" t="s">
        <v>65</v>
      </c>
      <c r="E101">
        <v>5400</v>
      </c>
      <c r="F101" s="5">
        <v>10</v>
      </c>
      <c r="G101" s="2">
        <f>(Table5[[#This Row],[RPM]]/5400-1)</f>
        <v>0</v>
      </c>
      <c r="H101" s="62">
        <v>210</v>
      </c>
      <c r="I101">
        <v>3</v>
      </c>
      <c r="J101" s="66">
        <v>600000</v>
      </c>
      <c r="K101">
        <v>180</v>
      </c>
      <c r="L101" s="66">
        <v>1000000</v>
      </c>
      <c r="M101" s="63">
        <f t="shared" si="7"/>
        <v>100000000000000</v>
      </c>
      <c r="N101" s="19">
        <f>12*1.79</f>
        <v>21.48</v>
      </c>
      <c r="O101" s="6">
        <v>5.7</v>
      </c>
      <c r="P101" s="6">
        <v>2.8</v>
      </c>
      <c r="Q101" s="6">
        <v>0.5</v>
      </c>
      <c r="R101" s="14">
        <v>378.99</v>
      </c>
      <c r="S101" s="11">
        <f>Table5[[#This Row],[Cost]]/Table5[[#This Row],[SizTB]]</f>
        <v>37.899000000000001</v>
      </c>
      <c r="T101" s="12">
        <f>Table5[[#This Row],[Cost]]+((CompareWarrYrs-Table5[[#This Row],[Warnty]])*(Incremental_Warr_Yr*Table5[[#This Row],[Cost]]))</f>
        <v>462.36779999999999</v>
      </c>
      <c r="U101" s="7">
        <f>Table5[[#This Row],[$+Warr]]/Table5[[#This Row],[SizTB]]</f>
        <v>46.236779999999996</v>
      </c>
      <c r="V101" s="11">
        <f>Table5[[#This Row],[$PerTB]]/CompareWarrYrs</f>
        <v>9.2473559999999999</v>
      </c>
      <c r="W101" s="8"/>
      <c r="X101" s="48">
        <f>(((Table5[[#This Row],[Watts Active]]*Power_On_Hours_Year/1000)*Active_Duty_Cycle)+((Table5[[#This Row],[Watts Idle]]*Power_On_Hours_Year/1000)*(100%-Active_Duty_Cycle)))*CostPerKWH</f>
        <v>3.7035336000000001</v>
      </c>
      <c r="Y101" s="49">
        <f>Table5[[#This Row],[Energy$year]]/Table5[[#This Row],[SizTB]]</f>
        <v>0.37035336000000002</v>
      </c>
    </row>
    <row r="102" spans="1:25">
      <c r="A102" s="1">
        <v>42961</v>
      </c>
      <c r="B102" t="s">
        <v>6</v>
      </c>
      <c r="C102" t="s">
        <v>82</v>
      </c>
      <c r="D102" s="44" t="s">
        <v>65</v>
      </c>
      <c r="E102">
        <v>5400</v>
      </c>
      <c r="F102" s="5">
        <v>1</v>
      </c>
      <c r="G102" s="2">
        <f>(Table5[[#This Row],[RPM]]/5400-1)</f>
        <v>0</v>
      </c>
      <c r="H102" s="62">
        <v>144</v>
      </c>
      <c r="I102">
        <v>3</v>
      </c>
      <c r="J102" s="66">
        <v>600000</v>
      </c>
      <c r="K102">
        <v>180</v>
      </c>
      <c r="L102" s="66">
        <v>1000000</v>
      </c>
      <c r="M102" s="63">
        <f t="shared" si="7"/>
        <v>100000000000000</v>
      </c>
      <c r="N102" s="19">
        <v>5</v>
      </c>
      <c r="O102" s="6">
        <v>1.4</v>
      </c>
      <c r="P102" s="6">
        <v>0.6</v>
      </c>
      <c r="Q102" s="6">
        <v>0.2</v>
      </c>
      <c r="R102" s="14">
        <v>72.989999999999995</v>
      </c>
      <c r="S102" s="11">
        <f>Table5[[#This Row],[Cost]]/Table5[[#This Row],[SizTB]]</f>
        <v>72.989999999999995</v>
      </c>
      <c r="T102" s="12">
        <f>Table5[[#This Row],[Cost]]+((CompareWarrYrs-Table5[[#This Row],[Warnty]])*(Incremental_Warr_Yr*Table5[[#This Row],[Cost]]))</f>
        <v>89.047799999999995</v>
      </c>
      <c r="U102" s="7">
        <f>Table5[[#This Row],[$+Warr]]/Table5[[#This Row],[SizTB]]</f>
        <v>89.047799999999995</v>
      </c>
      <c r="V102" s="11">
        <f>Table5[[#This Row],[$PerTB]]/CompareWarrYrs</f>
        <v>17.809559999999998</v>
      </c>
      <c r="W102" s="8"/>
      <c r="X102" s="48">
        <f>(((Table5[[#This Row],[Watts Active]]*Power_On_Hours_Year/1000)*Active_Duty_Cycle)+((Table5[[#This Row],[Watts Idle]]*Power_On_Hours_Year/1000)*(100%-Active_Duty_Cycle)))*CostPerKWH</f>
        <v>0.83274720000000002</v>
      </c>
      <c r="Y102" s="49">
        <f>Table5[[#This Row],[Energy$year]]/Table5[[#This Row],[SizTB]]</f>
        <v>0.83274720000000002</v>
      </c>
    </row>
    <row r="103" spans="1:25">
      <c r="A103" s="1">
        <v>42960</v>
      </c>
      <c r="B103" t="s">
        <v>6</v>
      </c>
      <c r="C103" t="s">
        <v>12</v>
      </c>
      <c r="D103" s="44" t="s">
        <v>65</v>
      </c>
      <c r="E103">
        <v>7200</v>
      </c>
      <c r="F103" s="5">
        <v>2</v>
      </c>
      <c r="G103" s="2">
        <f>(Table5[[#This Row],[RPM]]/5400-1)</f>
        <v>0.33333333333333326</v>
      </c>
      <c r="H103" s="62">
        <v>164</v>
      </c>
      <c r="I103">
        <v>5</v>
      </c>
      <c r="J103" s="66">
        <v>600000</v>
      </c>
      <c r="K103">
        <v>300</v>
      </c>
      <c r="L103" s="66">
        <v>1000000</v>
      </c>
      <c r="M103" s="63">
        <v>1000000000000000</v>
      </c>
      <c r="N103" s="19">
        <f>12*1.9</f>
        <v>22.799999999999997</v>
      </c>
      <c r="O103" s="6">
        <v>7.8</v>
      </c>
      <c r="P103" s="6">
        <v>6</v>
      </c>
      <c r="Q103" s="6">
        <v>1.4</v>
      </c>
      <c r="R103" s="14">
        <v>139.99</v>
      </c>
      <c r="S103" s="11">
        <f>Table5[[#This Row],[Cost]]/Table5[[#This Row],[SizTB]]</f>
        <v>69.995000000000005</v>
      </c>
      <c r="T103" s="12">
        <f>Table5[[#This Row],[Cost]]+((CompareWarrYrs-Table5[[#This Row],[Warnty]])*(Incremental_Warr_Yr*Table5[[#This Row],[Cost]]))</f>
        <v>139.99</v>
      </c>
      <c r="U103" s="7">
        <f>Table5[[#This Row],[$+Warr]]/Table5[[#This Row],[SizTB]]</f>
        <v>69.995000000000005</v>
      </c>
      <c r="V103" s="11">
        <f>Table5[[#This Row],[$PerTB]]/CompareWarrYrs</f>
        <v>13.999000000000001</v>
      </c>
      <c r="W103" s="8"/>
      <c r="X103" s="48">
        <f>(((Table5[[#This Row],[Watts Active]]*Power_On_Hours_Year/1000)*Active_Duty_Cycle)+((Table5[[#This Row],[Watts Idle]]*Power_On_Hours_Year/1000)*(100%-Active_Duty_Cycle)))*CostPerKWH</f>
        <v>6.9687792000000002</v>
      </c>
      <c r="Y103" s="49">
        <f>Table5[[#This Row],[Energy$year]]/Table5[[#This Row],[SizTB]]</f>
        <v>3.4843896000000001</v>
      </c>
    </row>
    <row r="104" spans="1:25">
      <c r="A104" s="1">
        <v>42842</v>
      </c>
      <c r="B104" t="s">
        <v>6</v>
      </c>
      <c r="C104" t="s">
        <v>12</v>
      </c>
      <c r="D104" s="44" t="s">
        <v>65</v>
      </c>
      <c r="E104">
        <v>7200</v>
      </c>
      <c r="F104" s="5">
        <v>3</v>
      </c>
      <c r="G104" s="2">
        <f>(Table5[[#This Row],[RPM]]/5400-1)</f>
        <v>0.33333333333333326</v>
      </c>
      <c r="H104" s="62"/>
      <c r="I104">
        <v>5</v>
      </c>
      <c r="J104" s="66">
        <v>600000</v>
      </c>
      <c r="K104">
        <v>300</v>
      </c>
      <c r="L104" s="66">
        <v>1000000</v>
      </c>
      <c r="M104" s="63">
        <v>1000000000000000</v>
      </c>
      <c r="N104" s="19">
        <f>12*1.9</f>
        <v>22.799999999999997</v>
      </c>
      <c r="O104" s="6">
        <v>8.6</v>
      </c>
      <c r="P104" s="6">
        <v>6.5</v>
      </c>
      <c r="Q104" s="6">
        <v>0.6</v>
      </c>
      <c r="R104" s="14">
        <v>201.99</v>
      </c>
      <c r="S104" s="11">
        <f>Table5[[#This Row],[Cost]]/Table5[[#This Row],[SizTB]]</f>
        <v>67.33</v>
      </c>
      <c r="T104" s="12">
        <f>Table5[[#This Row],[Cost]]+((CompareWarrYrs-Table5[[#This Row],[Warnty]])*(Incremental_Warr_Yr*Table5[[#This Row],[Cost]]))</f>
        <v>201.99</v>
      </c>
      <c r="U104" s="7">
        <f>Table5[[#This Row],[$+Warr]]/Table5[[#This Row],[SizTB]]</f>
        <v>67.33</v>
      </c>
      <c r="V104" s="11">
        <f>Table5[[#This Row],[$PerTB]]/CompareWarrYrs</f>
        <v>13.465999999999999</v>
      </c>
      <c r="W104" s="8"/>
      <c r="X104" s="48">
        <f>(((Table5[[#This Row],[Watts Active]]*Power_On_Hours_Year/1000)*Active_Duty_Cycle)+((Table5[[#This Row],[Watts Idle]]*Power_On_Hours_Year/1000)*(100%-Active_Duty_Cycle)))*CostPerKWH</f>
        <v>7.5823824000000002</v>
      </c>
      <c r="Y104" s="49">
        <f>Table5[[#This Row],[Energy$year]]/Table5[[#This Row],[SizTB]]</f>
        <v>2.5274608000000001</v>
      </c>
    </row>
    <row r="105" spans="1:25">
      <c r="A105" s="1">
        <v>42960</v>
      </c>
      <c r="B105" t="s">
        <v>6</v>
      </c>
      <c r="C105" t="s">
        <v>12</v>
      </c>
      <c r="D105" s="44" t="s">
        <v>65</v>
      </c>
      <c r="E105">
        <v>7200</v>
      </c>
      <c r="F105" s="5">
        <v>4</v>
      </c>
      <c r="G105" s="2">
        <f>(Table5[[#This Row],[RPM]]/5400-1)</f>
        <v>0.33333333333333326</v>
      </c>
      <c r="H105" s="62">
        <v>202</v>
      </c>
      <c r="I105">
        <v>5</v>
      </c>
      <c r="J105" s="66">
        <v>600000</v>
      </c>
      <c r="K105">
        <v>300</v>
      </c>
      <c r="L105" s="66">
        <v>1000000</v>
      </c>
      <c r="M105" s="63">
        <v>1000000000000000</v>
      </c>
      <c r="N105" s="19">
        <f>12*1.79</f>
        <v>21.48</v>
      </c>
      <c r="O105" s="6">
        <v>9.1</v>
      </c>
      <c r="P105" s="6">
        <v>7.1</v>
      </c>
      <c r="Q105" s="6">
        <v>1</v>
      </c>
      <c r="R105" s="14">
        <v>199.99</v>
      </c>
      <c r="S105" s="11">
        <f>Table5[[#This Row],[Cost]]/Table5[[#This Row],[SizTB]]</f>
        <v>49.997500000000002</v>
      </c>
      <c r="T105" s="12">
        <f>Table5[[#This Row],[Cost]]+((CompareWarrYrs-Table5[[#This Row],[Warnty]])*(Incremental_Warr_Yr*Table5[[#This Row],[Cost]]))</f>
        <v>199.99</v>
      </c>
      <c r="U105" s="7">
        <f>Table5[[#This Row],[$+Warr]]/Table5[[#This Row],[SizTB]]</f>
        <v>49.997500000000002</v>
      </c>
      <c r="V105" s="11">
        <f>Table5[[#This Row],[$PerTB]]/CompareWarrYrs</f>
        <v>9.9995000000000012</v>
      </c>
      <c r="W105" s="8"/>
      <c r="X105" s="48">
        <f>(((Table5[[#This Row],[Watts Active]]*Power_On_Hours_Year/1000)*Active_Duty_Cycle)+((Table5[[#This Row],[Watts Idle]]*Power_On_Hours_Year/1000)*(100%-Active_Duty_Cycle)))*CostPerKWH</f>
        <v>8.2179000000000002</v>
      </c>
      <c r="Y105" s="49">
        <f>Table5[[#This Row],[Energy$year]]/Table5[[#This Row],[SizTB]]</f>
        <v>2.0544750000000001</v>
      </c>
    </row>
    <row r="106" spans="1:25">
      <c r="A106" s="1">
        <v>42842</v>
      </c>
      <c r="B106" t="s">
        <v>6</v>
      </c>
      <c r="C106" t="s">
        <v>12</v>
      </c>
      <c r="D106" s="44" t="s">
        <v>65</v>
      </c>
      <c r="E106">
        <v>7200</v>
      </c>
      <c r="F106" s="5">
        <v>5</v>
      </c>
      <c r="G106" s="2">
        <f>(Table5[[#This Row],[RPM]]/5400-1)</f>
        <v>0.33333333333333326</v>
      </c>
      <c r="H106" s="62"/>
      <c r="I106">
        <v>5</v>
      </c>
      <c r="J106" s="66">
        <v>600000</v>
      </c>
      <c r="K106">
        <v>300</v>
      </c>
      <c r="L106" s="66">
        <v>1000000</v>
      </c>
      <c r="M106" s="63">
        <v>1000000000000000</v>
      </c>
      <c r="N106" s="19">
        <f>12*1.9</f>
        <v>22.799999999999997</v>
      </c>
      <c r="O106" s="6">
        <v>10.6</v>
      </c>
      <c r="P106" s="6">
        <v>7.4</v>
      </c>
      <c r="Q106" s="6">
        <v>1.6</v>
      </c>
      <c r="R106" s="14">
        <v>259.99</v>
      </c>
      <c r="S106" s="11">
        <f>Table5[[#This Row],[Cost]]/Table5[[#This Row],[SizTB]]</f>
        <v>51.998000000000005</v>
      </c>
      <c r="T106" s="12">
        <f>Table5[[#This Row],[Cost]]+((CompareWarrYrs-Table5[[#This Row],[Warnty]])*(Incremental_Warr_Yr*Table5[[#This Row],[Cost]]))</f>
        <v>259.99</v>
      </c>
      <c r="U106" s="7">
        <f>Table5[[#This Row],[$+Warr]]/Table5[[#This Row],[SizTB]]</f>
        <v>51.998000000000005</v>
      </c>
      <c r="V106" s="11">
        <f>Table5[[#This Row],[$PerTB]]/CompareWarrYrs</f>
        <v>10.399600000000001</v>
      </c>
      <c r="W106" s="20"/>
      <c r="X106" s="48">
        <f>(((Table5[[#This Row],[Watts Active]]*Power_On_Hours_Year/1000)*Active_Duty_Cycle)+((Table5[[#This Row],[Watts Idle]]*Power_On_Hours_Year/1000)*(100%-Active_Duty_Cycle)))*CostPerKWH</f>
        <v>8.8095888000000002</v>
      </c>
      <c r="Y106" s="49">
        <f>Table5[[#This Row],[Energy$year]]/Table5[[#This Row],[SizTB]]</f>
        <v>1.76191776</v>
      </c>
    </row>
    <row r="107" spans="1:25">
      <c r="A107" s="1">
        <v>42960</v>
      </c>
      <c r="B107" t="s">
        <v>6</v>
      </c>
      <c r="C107" t="s">
        <v>12</v>
      </c>
      <c r="D107" s="44" t="s">
        <v>65</v>
      </c>
      <c r="E107">
        <v>7200</v>
      </c>
      <c r="F107" s="5">
        <v>6</v>
      </c>
      <c r="G107" s="2">
        <f>(Table5[[#This Row],[RPM]]/5400-1)</f>
        <v>0.33333333333333326</v>
      </c>
      <c r="H107" s="62">
        <v>227</v>
      </c>
      <c r="I107">
        <v>5</v>
      </c>
      <c r="J107" s="66">
        <v>600000</v>
      </c>
      <c r="K107">
        <v>300</v>
      </c>
      <c r="L107" s="66">
        <v>1000000</v>
      </c>
      <c r="M107" s="63">
        <v>1000000000000000</v>
      </c>
      <c r="N107" s="19">
        <f>12*1.79</f>
        <v>21.48</v>
      </c>
      <c r="O107" s="6">
        <v>9.1</v>
      </c>
      <c r="P107" s="6">
        <v>7.1</v>
      </c>
      <c r="Q107" s="6">
        <v>1</v>
      </c>
      <c r="R107" s="14">
        <v>249.99</v>
      </c>
      <c r="S107" s="11">
        <f>Table5[[#This Row],[Cost]]/Table5[[#This Row],[SizTB]]</f>
        <v>41.664999999999999</v>
      </c>
      <c r="T107" s="12">
        <f>Table5[[#This Row],[Cost]]+((CompareWarrYrs-Table5[[#This Row],[Warnty]])*(Incremental_Warr_Yr*Table5[[#This Row],[Cost]]))</f>
        <v>249.99</v>
      </c>
      <c r="U107" s="7">
        <f>Table5[[#This Row],[$+Warr]]/Table5[[#This Row],[SizTB]]</f>
        <v>41.664999999999999</v>
      </c>
      <c r="V107" s="11">
        <f>Table5[[#This Row],[$PerTB]]/CompareWarrYrs</f>
        <v>8.3330000000000002</v>
      </c>
      <c r="W107" s="8"/>
      <c r="X107" s="48">
        <f>(((Table5[[#This Row],[Watts Active]]*Power_On_Hours_Year/1000)*Active_Duty_Cycle)+((Table5[[#This Row],[Watts Idle]]*Power_On_Hours_Year/1000)*(100%-Active_Duty_Cycle)))*CostPerKWH</f>
        <v>8.2179000000000002</v>
      </c>
      <c r="Y107" s="49">
        <f>Table5[[#This Row],[Energy$year]]/Table5[[#This Row],[SizTB]]</f>
        <v>1.36965</v>
      </c>
    </row>
    <row r="108" spans="1:25">
      <c r="A108" s="1">
        <v>42960</v>
      </c>
      <c r="B108" t="s">
        <v>6</v>
      </c>
      <c r="C108" t="s">
        <v>12</v>
      </c>
      <c r="D108" s="44" t="s">
        <v>65</v>
      </c>
      <c r="E108">
        <v>7200</v>
      </c>
      <c r="F108" s="5">
        <v>8</v>
      </c>
      <c r="G108" s="2">
        <f>(Table5[[#This Row],[RPM]]/5400-1)</f>
        <v>0.33333333333333326</v>
      </c>
      <c r="H108" s="62">
        <v>205</v>
      </c>
      <c r="I108">
        <v>5</v>
      </c>
      <c r="J108" s="66">
        <v>600000</v>
      </c>
      <c r="K108">
        <v>300</v>
      </c>
      <c r="L108" s="66">
        <v>1000000</v>
      </c>
      <c r="M108" s="63">
        <v>1000000000000000</v>
      </c>
      <c r="N108" s="19">
        <f>12*1.79</f>
        <v>21.48</v>
      </c>
      <c r="O108" s="6">
        <v>8.3000000000000007</v>
      </c>
      <c r="P108" s="6">
        <v>5.2</v>
      </c>
      <c r="Q108" s="6">
        <v>1</v>
      </c>
      <c r="R108" s="14">
        <v>249.99</v>
      </c>
      <c r="S108" s="11">
        <f>Table5[[#This Row],[Cost]]/Table5[[#This Row],[SizTB]]</f>
        <v>31.248750000000001</v>
      </c>
      <c r="T108" s="12">
        <f>Table5[[#This Row],[Cost]]+((CompareWarrYrs-Table5[[#This Row],[Warnty]])*(Incremental_Warr_Yr*Table5[[#This Row],[Cost]]))</f>
        <v>249.99</v>
      </c>
      <c r="U108" s="7">
        <f>Table5[[#This Row],[$+Warr]]/Table5[[#This Row],[SizTB]]</f>
        <v>31.248750000000001</v>
      </c>
      <c r="V108" s="11">
        <f>Table5[[#This Row],[$PerTB]]/CompareWarrYrs</f>
        <v>6.2497500000000006</v>
      </c>
      <c r="W108" s="8"/>
      <c r="X108" s="48">
        <f>(((Table5[[#This Row],[Watts Active]]*Power_On_Hours_Year/1000)*Active_Duty_Cycle)+((Table5[[#This Row],[Watts Idle]]*Power_On_Hours_Year/1000)*(100%-Active_Duty_Cycle)))*CostPerKWH</f>
        <v>6.377090400000001</v>
      </c>
      <c r="Y108" s="49">
        <f>Table5[[#This Row],[Energy$year]]/Table5[[#This Row],[SizTB]]</f>
        <v>0.79713630000000013</v>
      </c>
    </row>
    <row r="109" spans="1:25" ht="15.75" thickBot="1">
      <c r="A109" s="1">
        <v>42960</v>
      </c>
      <c r="B109" t="s">
        <v>6</v>
      </c>
      <c r="C109" t="s">
        <v>12</v>
      </c>
      <c r="D109" s="44" t="s">
        <v>65</v>
      </c>
      <c r="E109">
        <v>7200</v>
      </c>
      <c r="F109" s="5">
        <v>10</v>
      </c>
      <c r="G109" s="2">
        <f>(Table5[[#This Row],[RPM]]/5400-1)</f>
        <v>0.33333333333333326</v>
      </c>
      <c r="H109" s="62">
        <v>240</v>
      </c>
      <c r="I109">
        <v>5</v>
      </c>
      <c r="J109" s="66">
        <v>600000</v>
      </c>
      <c r="K109">
        <v>300</v>
      </c>
      <c r="L109" s="66">
        <v>1000000</v>
      </c>
      <c r="M109" s="63">
        <v>1000000000000000</v>
      </c>
      <c r="N109" s="19">
        <f>12*1.8</f>
        <v>21.6</v>
      </c>
      <c r="O109" s="6">
        <v>5.7</v>
      </c>
      <c r="P109" s="6">
        <v>2.8</v>
      </c>
      <c r="Q109" s="6">
        <v>0.5</v>
      </c>
      <c r="R109" s="14">
        <v>449.99</v>
      </c>
      <c r="S109" s="11">
        <f>Table5[[#This Row],[Cost]]/Table5[[#This Row],[SizTB]]</f>
        <v>44.999000000000002</v>
      </c>
      <c r="T109" s="12">
        <f>Table5[[#This Row],[Cost]]+((CompareWarrYrs-Table5[[#This Row],[Warnty]])*(Incremental_Warr_Yr*Table5[[#This Row],[Cost]]))</f>
        <v>449.99</v>
      </c>
      <c r="U109" s="7">
        <f>Table5[[#This Row],[$+Warr]]/Table5[[#This Row],[SizTB]]</f>
        <v>44.999000000000002</v>
      </c>
      <c r="V109" s="11">
        <f>Table5[[#This Row],[$PerTB]]/CompareWarrYrs</f>
        <v>8.9998000000000005</v>
      </c>
      <c r="W109" s="8"/>
      <c r="X109" s="52">
        <f>(((Table5[[#This Row],[Watts Active]]*Power_On_Hours_Year/1000)*Active_Duty_Cycle)+((Table5[[#This Row],[Watts Idle]]*Power_On_Hours_Year/1000)*(100%-Active_Duty_Cycle)))*CostPerKWH</f>
        <v>3.7035336000000001</v>
      </c>
      <c r="Y109" s="53">
        <f>Table5[[#This Row],[Energy$year]]/Table5[[#This Row],[SizTB]]</f>
        <v>0.37035336000000002</v>
      </c>
    </row>
    <row r="110" spans="1:25" ht="15.75" thickBot="1">
      <c r="A110" s="8"/>
      <c r="B110" s="8"/>
      <c r="C110" s="8"/>
      <c r="D110" s="8"/>
      <c r="E110" s="22" t="s">
        <v>26</v>
      </c>
      <c r="F110" s="23">
        <f>MIN(F3:F109)</f>
        <v>1</v>
      </c>
      <c r="G110" s="25"/>
      <c r="H110" s="23">
        <f t="shared" ref="H110:Q110" si="8">MIN(H3:H109)</f>
        <v>136</v>
      </c>
      <c r="I110" s="23">
        <f t="shared" si="8"/>
        <v>1</v>
      </c>
      <c r="J110" s="67">
        <f t="shared" si="8"/>
        <v>300000</v>
      </c>
      <c r="K110" s="23">
        <f t="shared" si="8"/>
        <v>180</v>
      </c>
      <c r="L110" s="67">
        <f t="shared" si="8"/>
        <v>800000</v>
      </c>
      <c r="M110" s="64">
        <f t="shared" si="8"/>
        <v>100000000000000</v>
      </c>
      <c r="N110" s="23">
        <f t="shared" si="8"/>
        <v>5</v>
      </c>
      <c r="O110" s="23">
        <f t="shared" si="8"/>
        <v>1.4</v>
      </c>
      <c r="P110" s="23">
        <f t="shared" si="8"/>
        <v>0.45</v>
      </c>
      <c r="Q110" s="23">
        <f t="shared" si="8"/>
        <v>0.1</v>
      </c>
      <c r="R110" s="23"/>
      <c r="S110" s="24">
        <f>MIN(S3:S109)</f>
        <v>0</v>
      </c>
      <c r="T110" s="25"/>
      <c r="U110" s="24">
        <f>MIN(U3:U109)</f>
        <v>0</v>
      </c>
      <c r="V110" s="24">
        <f>MIN(V3:V109)</f>
        <v>0</v>
      </c>
      <c r="W110" s="25"/>
      <c r="X110" s="24">
        <f>MIN(X3:X109)</f>
        <v>0.76700400000000002</v>
      </c>
      <c r="Y110" s="26">
        <f>MIN(Y3:Y109)</f>
        <v>0.28488720000000006</v>
      </c>
    </row>
    <row r="111" spans="1:25" ht="15.75" thickBot="1">
      <c r="B111" s="5"/>
      <c r="E111" s="27" t="s">
        <v>43</v>
      </c>
      <c r="F111" s="28">
        <f>AVERAGE(F3:F109)</f>
        <v>4.3439252336448595</v>
      </c>
      <c r="G111" s="29"/>
      <c r="H111" s="28">
        <f t="shared" ref="H111:Q111" si="9">AVERAGE(H3:H109)</f>
        <v>182.44736842105263</v>
      </c>
      <c r="I111" s="28">
        <f t="shared" si="9"/>
        <v>3.8037383177570092</v>
      </c>
      <c r="J111" s="68">
        <f t="shared" si="9"/>
        <v>486666.66666666669</v>
      </c>
      <c r="K111" s="28">
        <f t="shared" si="9"/>
        <v>373.14285714285717</v>
      </c>
      <c r="L111" s="68">
        <f t="shared" si="9"/>
        <v>1430000</v>
      </c>
      <c r="M111" s="65">
        <f t="shared" si="9"/>
        <v>468181818181818.19</v>
      </c>
      <c r="N111" s="28">
        <f t="shared" si="9"/>
        <v>20.723740259740257</v>
      </c>
      <c r="O111" s="28">
        <f t="shared" si="9"/>
        <v>6.8274193548387139</v>
      </c>
      <c r="P111" s="28">
        <f t="shared" si="9"/>
        <v>4.7792857142857139</v>
      </c>
      <c r="Q111" s="28">
        <f t="shared" si="9"/>
        <v>0.7538028169014086</v>
      </c>
      <c r="R111" s="29"/>
      <c r="S111" s="30">
        <f>AVERAGE(S3:S109)</f>
        <v>51.194188992731007</v>
      </c>
      <c r="T111" s="29"/>
      <c r="U111" s="30">
        <f>AVERAGE(U3:U109)</f>
        <v>56.420001998961546</v>
      </c>
      <c r="V111" s="30">
        <f>AVERAGE(V3:V109)</f>
        <v>11.284000399792321</v>
      </c>
      <c r="W111" s="29"/>
      <c r="X111" s="30">
        <f>AVERAGE(X3:X109)</f>
        <v>5.598846433548391</v>
      </c>
      <c r="Y111" s="31">
        <f>AVERAGE(Y3:Y109)</f>
        <v>1.7742876795197144</v>
      </c>
    </row>
    <row r="112" spans="1:25" ht="15.75" thickBot="1">
      <c r="B112" s="5"/>
      <c r="E112" s="27" t="s">
        <v>25</v>
      </c>
      <c r="F112" s="28">
        <f>MEDIAN(F3:F109)</f>
        <v>4</v>
      </c>
      <c r="G112" s="32"/>
      <c r="H112" s="28">
        <f t="shared" ref="H112:Q112" si="10">MEDIAN(H3:H109)</f>
        <v>175</v>
      </c>
      <c r="I112" s="28">
        <f t="shared" si="10"/>
        <v>5</v>
      </c>
      <c r="J112" s="68">
        <f t="shared" si="10"/>
        <v>600000</v>
      </c>
      <c r="K112" s="28">
        <f t="shared" si="10"/>
        <v>300</v>
      </c>
      <c r="L112" s="68">
        <f t="shared" si="10"/>
        <v>1000000</v>
      </c>
      <c r="M112" s="65">
        <f t="shared" si="10"/>
        <v>100000000000000</v>
      </c>
      <c r="N112" s="28">
        <f t="shared" si="10"/>
        <v>22.799999999999997</v>
      </c>
      <c r="O112" s="28">
        <f t="shared" si="10"/>
        <v>7.4</v>
      </c>
      <c r="P112" s="28">
        <f t="shared" si="10"/>
        <v>4.95</v>
      </c>
      <c r="Q112" s="28">
        <f t="shared" si="10"/>
        <v>0.75</v>
      </c>
      <c r="R112" s="32"/>
      <c r="S112" s="30">
        <f>MEDIAN(S3:S109)</f>
        <v>43.998000000000005</v>
      </c>
      <c r="T112" s="32"/>
      <c r="U112" s="30">
        <f>MEDIAN(U3:U109)</f>
        <v>45.743899999999996</v>
      </c>
      <c r="V112" s="30">
        <f>MEDIAN(V3:V109)</f>
        <v>9.1487799999999986</v>
      </c>
      <c r="W112" s="32"/>
      <c r="X112" s="30">
        <f>MEDIAN(X3:X109)</f>
        <v>5.7087012000000001</v>
      </c>
      <c r="Y112" s="31">
        <f>MEDIAN(Y3:Y109)</f>
        <v>1.36965</v>
      </c>
    </row>
    <row r="113" spans="1:25" ht="15.75" thickBot="1">
      <c r="E113" s="27" t="s">
        <v>27</v>
      </c>
      <c r="F113" s="28">
        <f>MAX(F3:F109)</f>
        <v>12</v>
      </c>
      <c r="G113" s="29"/>
      <c r="H113" s="28">
        <f t="shared" ref="H113:Q113" si="11">MAX(H3:H109)</f>
        <v>261</v>
      </c>
      <c r="I113" s="28">
        <f t="shared" si="11"/>
        <v>5</v>
      </c>
      <c r="J113" s="68">
        <f t="shared" si="11"/>
        <v>600000</v>
      </c>
      <c r="K113" s="28">
        <f t="shared" si="11"/>
        <v>550</v>
      </c>
      <c r="L113" s="68">
        <f t="shared" si="11"/>
        <v>2500000</v>
      </c>
      <c r="M113" s="65">
        <f t="shared" si="11"/>
        <v>1000000000000000</v>
      </c>
      <c r="N113" s="28">
        <f t="shared" si="11"/>
        <v>31.200000000000003</v>
      </c>
      <c r="O113" s="28">
        <f t="shared" si="11"/>
        <v>11.27</v>
      </c>
      <c r="P113" s="28">
        <f t="shared" si="11"/>
        <v>8.1</v>
      </c>
      <c r="Q113" s="28">
        <f t="shared" si="11"/>
        <v>1.6</v>
      </c>
      <c r="R113" s="28"/>
      <c r="S113" s="30">
        <f>MAX(S3:S109)</f>
        <v>324.93888888888887</v>
      </c>
      <c r="T113" s="29"/>
      <c r="U113" s="30">
        <f>MAX(U3:U109)</f>
        <v>324.93888888888887</v>
      </c>
      <c r="V113" s="30">
        <f>MAX(V3:V109)</f>
        <v>64.987777777777779</v>
      </c>
      <c r="W113" s="29"/>
      <c r="X113" s="30">
        <f>MAX(X3:X109)</f>
        <v>9.1821336000000002</v>
      </c>
      <c r="Y113" s="31">
        <f>MAX(Y3:Y109)</f>
        <v>6.9468648000000002</v>
      </c>
    </row>
    <row r="114" spans="1:25" ht="15.75" thickBot="1">
      <c r="E114" s="33" t="s">
        <v>48</v>
      </c>
      <c r="F114" s="34">
        <f>COUNT(Table5[SizTB])</f>
        <v>107</v>
      </c>
      <c r="G114" s="35"/>
      <c r="H114" s="34">
        <f>COUNT(Table5[XferRate])</f>
        <v>38</v>
      </c>
      <c r="I114" s="34">
        <f>COUNT(Table5[Warnty])</f>
        <v>107</v>
      </c>
      <c r="J114" s="34">
        <f>COUNT(Table5[CycleCnt])</f>
        <v>45</v>
      </c>
      <c r="K114" s="34">
        <f>COUNT(Table5[WorkLoad])</f>
        <v>35</v>
      </c>
      <c r="L114" s="34">
        <f>COUNT(Table5[MTBF])</f>
        <v>30</v>
      </c>
      <c r="M114" s="34">
        <f>COUNT(Table5[RErrRate])</f>
        <v>44</v>
      </c>
      <c r="N114" s="34">
        <f>COUNT(Table5[MaxStartupWatts])</f>
        <v>77</v>
      </c>
      <c r="O114" s="34">
        <f>COUNT(Table5[Watts Active])</f>
        <v>93</v>
      </c>
      <c r="P114" s="34">
        <f>COUNT(Table5[Watts Idle])</f>
        <v>98</v>
      </c>
      <c r="Q114" s="34">
        <f>COUNT(Table5[WattsStandby])</f>
        <v>71</v>
      </c>
      <c r="R114" s="35"/>
      <c r="S114" s="34">
        <f>COUNT(Table5[$ TB])</f>
        <v>107</v>
      </c>
      <c r="T114" s="34"/>
      <c r="U114" s="34">
        <f>COUNT(Table5[$PerTB])</f>
        <v>107</v>
      </c>
      <c r="V114" s="34">
        <f>COUNTA(Table5[$ TB/year])</f>
        <v>107</v>
      </c>
      <c r="W114" s="35"/>
      <c r="X114" s="34">
        <f>COUNT(Table5[Energy$year])</f>
        <v>93</v>
      </c>
      <c r="Y114" s="36">
        <f>COUNT(Table5[Energy$yearPerTB])</f>
        <v>93</v>
      </c>
    </row>
    <row r="117" spans="1:25" ht="15.75" thickBot="1"/>
    <row r="118" spans="1:25" ht="15.75" thickBot="1">
      <c r="A118" s="77" t="s">
        <v>28</v>
      </c>
      <c r="B118" s="78"/>
      <c r="C118" s="75" t="s">
        <v>23</v>
      </c>
      <c r="D118" s="76"/>
    </row>
    <row r="119" spans="1:25" ht="15.75" thickBot="1">
      <c r="A119" s="69">
        <f>MAX(A2:A109)</f>
        <v>42961</v>
      </c>
      <c r="B119" s="70"/>
      <c r="C119" s="38" t="s">
        <v>19</v>
      </c>
      <c r="D119" s="54">
        <v>0.125</v>
      </c>
      <c r="E119" s="41"/>
    </row>
    <row r="120" spans="1:25" ht="15.75" thickBot="1">
      <c r="C120" s="38" t="s">
        <v>34</v>
      </c>
      <c r="D120" s="39">
        <v>0.2</v>
      </c>
      <c r="E120" s="42"/>
    </row>
    <row r="121" spans="1:25" ht="15.75" thickBot="1">
      <c r="C121" s="38" t="s">
        <v>42</v>
      </c>
      <c r="D121" s="40">
        <v>5</v>
      </c>
      <c r="E121" s="43"/>
    </row>
    <row r="122" spans="1:25" ht="15.75" thickBot="1">
      <c r="C122" s="38" t="s">
        <v>58</v>
      </c>
      <c r="D122" s="39">
        <v>0.11</v>
      </c>
      <c r="E122" s="42"/>
    </row>
    <row r="123" spans="1:25" ht="15.75" thickBot="1">
      <c r="C123" s="38" t="s">
        <v>35</v>
      </c>
      <c r="D123" s="45">
        <f>365.24*Hours_In_Day</f>
        <v>8765.76</v>
      </c>
    </row>
    <row r="124" spans="1:25" ht="15.75" thickBot="1">
      <c r="C124" s="38" t="s">
        <v>67</v>
      </c>
      <c r="D124" s="40">
        <v>24</v>
      </c>
      <c r="E124" s="43"/>
    </row>
    <row r="125" spans="1:25" ht="15.75" thickBot="1">
      <c r="C125" s="38" t="s">
        <v>69</v>
      </c>
      <c r="D125" s="40">
        <f>Days_In_Month*Hours_In_Day</f>
        <v>730.48</v>
      </c>
      <c r="E125" s="43"/>
    </row>
    <row r="126" spans="1:25" ht="15.75" thickBot="1">
      <c r="C126" s="38" t="s">
        <v>66</v>
      </c>
      <c r="D126" s="40">
        <f>Days_in_Year/Months_In_Year</f>
        <v>30.436666666666667</v>
      </c>
    </row>
    <row r="127" spans="1:25" ht="15.75" thickBot="1">
      <c r="C127" s="38" t="s">
        <v>74</v>
      </c>
      <c r="D127" s="40">
        <v>365.24</v>
      </c>
    </row>
    <row r="128" spans="1:25" ht="15.75" thickBot="1">
      <c r="C128" s="38" t="s">
        <v>68</v>
      </c>
      <c r="D128" s="40">
        <v>12</v>
      </c>
      <c r="E128" s="43"/>
    </row>
    <row r="129" spans="1:3">
      <c r="C129" s="5"/>
    </row>
    <row r="130" spans="1:3">
      <c r="A130" t="s">
        <v>50</v>
      </c>
    </row>
  </sheetData>
  <sortState ref="A2:O62">
    <sortCondition ref="B2:B62"/>
    <sortCondition ref="C2:C62"/>
    <sortCondition ref="E2:E62"/>
    <sortCondition ref="F2:F62"/>
  </sortState>
  <mergeCells count="6">
    <mergeCell ref="A119:B119"/>
    <mergeCell ref="T1:V1"/>
    <mergeCell ref="R1:S1"/>
    <mergeCell ref="X1:Y1"/>
    <mergeCell ref="C118:D118"/>
    <mergeCell ref="A118:B118"/>
  </mergeCells>
  <conditionalFormatting sqref="S3:S109">
    <cfRule type="top10" dxfId="25" priority="224" bottom="1" rank="20"/>
  </conditionalFormatting>
  <conditionalFormatting sqref="V3:V109">
    <cfRule type="top10" dxfId="24" priority="226" bottom="1" rank="20"/>
  </conditionalFormatting>
  <conditionalFormatting sqref="Y3:Y109">
    <cfRule type="aboveAverage" dxfId="23" priority="228" aboveAverage="0"/>
  </conditionalFormatting>
  <conditionalFormatting sqref="X3:Y109">
    <cfRule type="colorScale" priority="230">
      <colorScale>
        <cfvo type="min" val="0"/>
        <cfvo type="formula" val="$X$111"/>
        <cfvo type="max" val="0"/>
        <color theme="9"/>
        <color rgb="FFFFEB84"/>
        <color theme="5"/>
      </colorScale>
    </cfRule>
  </conditionalFormatting>
  <pageMargins left="0.7" right="0.7" top="0.75" bottom="0.75" header="0.3" footer="0.3"/>
  <pageSetup orientation="portrait" verticalDpi="0" r:id="rId1"/>
  <cellWatches>
    <cellWatch r="V4"/>
  </cellWatches>
  <ignoredErrors>
    <ignoredError sqref="N57 N105" formula="1"/>
  </ignoredErrors>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dimension ref="A1"/>
  <sheetViews>
    <sheetView workbookViewId="0">
      <selection activeCell="A18" sqref="A18"/>
    </sheetView>
  </sheetViews>
  <sheetFormatPr defaultRowHeight="15"/>
  <sheetData>
    <row r="1" spans="1:1">
      <c r="A1" t="s">
        <v>70</v>
      </c>
    </row>
  </sheetData>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11</vt:i4>
      </vt:variant>
    </vt:vector>
  </HeadingPairs>
  <TitlesOfParts>
    <vt:vector size="13" baseType="lpstr">
      <vt:lpstr>Drive Table</vt:lpstr>
      <vt:lpstr>Charts</vt:lpstr>
      <vt:lpstr>Active_Duty_Cycle</vt:lpstr>
      <vt:lpstr>CompareWarrYrs</vt:lpstr>
      <vt:lpstr>CostPerKWH</vt:lpstr>
      <vt:lpstr>Day_in_Year</vt:lpstr>
      <vt:lpstr>Days_In_Month</vt:lpstr>
      <vt:lpstr>Days_in_Year</vt:lpstr>
      <vt:lpstr>Hours_In_Day</vt:lpstr>
      <vt:lpstr>Hours_In_Month</vt:lpstr>
      <vt:lpstr>Incremental_Warr_Yr</vt:lpstr>
      <vt:lpstr>Months_In_Year</vt:lpstr>
      <vt:lpstr>Power_On_Hours_Year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Aalysis</dc:title>
  <dc:creator/>
  <cp:lastModifiedBy/>
  <dcterms:created xsi:type="dcterms:W3CDTF">2017-03-24T23:12:53Z</dcterms:created>
  <dcterms:modified xsi:type="dcterms:W3CDTF">2017-08-15T03:31:37Z</dcterms:modified>
</cp:coreProperties>
</file>