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filterPrivacy="1"/>
  <bookViews>
    <workbookView xWindow="0" yWindow="0" windowWidth="21570" windowHeight="8595"/>
  </bookViews>
  <sheets>
    <sheet name="Drive Table" sheetId="1" r:id="rId1"/>
    <sheet name="Charts" sheetId="2" r:id="rId2"/>
  </sheets>
  <definedNames>
    <definedName name="Active_Duty_Cycle">'Drive Table'!$D$114</definedName>
    <definedName name="CompareWarrYrs">'Drive Table'!$D$115</definedName>
    <definedName name="CostPerKWH">'Drive Table'!$D$113</definedName>
    <definedName name="Days_In_Month">'Drive Table'!$D$121</definedName>
    <definedName name="Days_In_Year">'Drive Table'!#REF!</definedName>
    <definedName name="Hours_In_Day">'Drive Table'!$D$118</definedName>
    <definedName name="Hours_In_Month">'Drive Table'!$D$119</definedName>
    <definedName name="Incremental_Warr_Yr">'Drive Table'!$D$116</definedName>
    <definedName name="Months_In_Year">'Drive Table'!$D$120</definedName>
    <definedName name="Power_On_Hours_Year">'Drive Table'!$D$117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7" i="1" l="1"/>
  <c r="P97" i="1" s="1"/>
  <c r="Q97" i="1" s="1"/>
  <c r="N97" i="1"/>
  <c r="G97" i="1"/>
  <c r="O71" i="1" l="1"/>
  <c r="P71" i="1" s="1"/>
  <c r="Q71" i="1" s="1"/>
  <c r="N71" i="1"/>
  <c r="G71" i="1"/>
  <c r="O70" i="1"/>
  <c r="P70" i="1" s="1"/>
  <c r="Q70" i="1" s="1"/>
  <c r="N70" i="1"/>
  <c r="G70" i="1"/>
  <c r="O69" i="1"/>
  <c r="P69" i="1" s="1"/>
  <c r="Q69" i="1" s="1"/>
  <c r="N69" i="1"/>
  <c r="G69" i="1"/>
  <c r="O66" i="1"/>
  <c r="P66" i="1" s="1"/>
  <c r="Q66" i="1" s="1"/>
  <c r="N66" i="1"/>
  <c r="G66" i="1"/>
  <c r="O67" i="1"/>
  <c r="P67" i="1" s="1"/>
  <c r="Q67" i="1" s="1"/>
  <c r="N67" i="1"/>
  <c r="G67" i="1"/>
  <c r="O68" i="1"/>
  <c r="P68" i="1" s="1"/>
  <c r="Q68" i="1" s="1"/>
  <c r="N68" i="1"/>
  <c r="G68" i="1"/>
  <c r="A113" i="1" l="1"/>
  <c r="H108" i="1" l="1"/>
  <c r="H107" i="1"/>
  <c r="H106" i="1"/>
  <c r="H105" i="1"/>
  <c r="H104" i="1"/>
  <c r="F108" i="1"/>
  <c r="F107" i="1"/>
  <c r="F106" i="1"/>
  <c r="F105" i="1"/>
  <c r="F104" i="1"/>
  <c r="D121" i="1" l="1"/>
  <c r="D119" i="1" s="1"/>
  <c r="D117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6" i="1"/>
  <c r="O57" i="1"/>
  <c r="O58" i="1"/>
  <c r="O59" i="1"/>
  <c r="O60" i="1"/>
  <c r="O61" i="1"/>
  <c r="O62" i="1"/>
  <c r="O63" i="1"/>
  <c r="O64" i="1"/>
  <c r="O65" i="1"/>
  <c r="O72" i="1"/>
  <c r="O73" i="1"/>
  <c r="O74" i="1"/>
  <c r="O75" i="1"/>
  <c r="O76" i="1"/>
  <c r="O77" i="1"/>
  <c r="O78" i="1"/>
  <c r="O79" i="1"/>
  <c r="O80" i="1"/>
  <c r="O81" i="1"/>
  <c r="O82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8" i="1"/>
  <c r="O99" i="1"/>
  <c r="O100" i="1"/>
  <c r="O101" i="1"/>
  <c r="O102" i="1"/>
  <c r="S9" i="1" l="1"/>
  <c r="S101" i="1"/>
  <c r="S96" i="1"/>
  <c r="S92" i="1"/>
  <c r="S88" i="1"/>
  <c r="S84" i="1"/>
  <c r="S74" i="1"/>
  <c r="S64" i="1"/>
  <c r="S60" i="1"/>
  <c r="S56" i="1"/>
  <c r="S52" i="1"/>
  <c r="S48" i="1"/>
  <c r="S43" i="1"/>
  <c r="S38" i="1"/>
  <c r="S33" i="1"/>
  <c r="S29" i="1"/>
  <c r="S25" i="1"/>
  <c r="S21" i="1"/>
  <c r="S17" i="1"/>
  <c r="S13" i="1"/>
  <c r="S102" i="1"/>
  <c r="S98" i="1"/>
  <c r="S93" i="1"/>
  <c r="S89" i="1"/>
  <c r="S85" i="1"/>
  <c r="S61" i="1"/>
  <c r="S53" i="1"/>
  <c r="S44" i="1"/>
  <c r="S34" i="1"/>
  <c r="S26" i="1"/>
  <c r="S14" i="1"/>
  <c r="S100" i="1"/>
  <c r="S95" i="1"/>
  <c r="S91" i="1"/>
  <c r="S87" i="1"/>
  <c r="S77" i="1"/>
  <c r="S73" i="1"/>
  <c r="S63" i="1"/>
  <c r="S59" i="1"/>
  <c r="S55" i="1"/>
  <c r="S51" i="1"/>
  <c r="S47" i="1"/>
  <c r="S41" i="1"/>
  <c r="S36" i="1"/>
  <c r="S32" i="1"/>
  <c r="S28" i="1"/>
  <c r="S24" i="1"/>
  <c r="S20" i="1"/>
  <c r="S16" i="1"/>
  <c r="S12" i="1"/>
  <c r="S75" i="1"/>
  <c r="S65" i="1"/>
  <c r="S57" i="1"/>
  <c r="S49" i="1"/>
  <c r="S39" i="1"/>
  <c r="S30" i="1"/>
  <c r="S22" i="1"/>
  <c r="T22" i="1" s="1"/>
  <c r="S18" i="1"/>
  <c r="S10" i="1"/>
  <c r="S103" i="1"/>
  <c r="S99" i="1"/>
  <c r="S94" i="1"/>
  <c r="S90" i="1"/>
  <c r="S86" i="1"/>
  <c r="S76" i="1"/>
  <c r="S72" i="1"/>
  <c r="S62" i="1"/>
  <c r="S58" i="1"/>
  <c r="S54" i="1"/>
  <c r="S50" i="1"/>
  <c r="S46" i="1"/>
  <c r="S40" i="1"/>
  <c r="S35" i="1"/>
  <c r="S31" i="1"/>
  <c r="S27" i="1"/>
  <c r="T27" i="1" s="1"/>
  <c r="S23" i="1"/>
  <c r="T23" i="1" s="1"/>
  <c r="S19" i="1"/>
  <c r="S15" i="1"/>
  <c r="S11" i="1"/>
  <c r="T24" i="1"/>
  <c r="T25" i="1"/>
  <c r="T26" i="1"/>
  <c r="I23" i="1"/>
  <c r="I22" i="1"/>
  <c r="I26" i="1"/>
  <c r="I25" i="1"/>
  <c r="I24" i="1"/>
  <c r="P26" i="1"/>
  <c r="Q26" i="1" s="1"/>
  <c r="N26" i="1"/>
  <c r="G26" i="1"/>
  <c r="P25" i="1"/>
  <c r="Q25" i="1" s="1"/>
  <c r="N25" i="1"/>
  <c r="G25" i="1"/>
  <c r="P24" i="1"/>
  <c r="Q24" i="1" s="1"/>
  <c r="N24" i="1"/>
  <c r="G24" i="1"/>
  <c r="P22" i="1"/>
  <c r="Q22" i="1" s="1"/>
  <c r="N22" i="1"/>
  <c r="G22" i="1"/>
  <c r="P23" i="1"/>
  <c r="Q23" i="1" s="1"/>
  <c r="N23" i="1"/>
  <c r="G23" i="1"/>
  <c r="M55" i="1" l="1"/>
  <c r="O55" i="1" s="1"/>
  <c r="K108" i="1" l="1"/>
  <c r="T103" i="1"/>
  <c r="T100" i="1"/>
  <c r="T99" i="1"/>
  <c r="T95" i="1"/>
  <c r="T94" i="1"/>
  <c r="T91" i="1"/>
  <c r="T90" i="1"/>
  <c r="T87" i="1"/>
  <c r="T86" i="1"/>
  <c r="T77" i="1"/>
  <c r="T76" i="1"/>
  <c r="T74" i="1"/>
  <c r="T72" i="1"/>
  <c r="T64" i="1"/>
  <c r="T62" i="1"/>
  <c r="T60" i="1"/>
  <c r="T59" i="1"/>
  <c r="T58" i="1"/>
  <c r="T56" i="1"/>
  <c r="T54" i="1"/>
  <c r="T52" i="1"/>
  <c r="T51" i="1"/>
  <c r="T50" i="1"/>
  <c r="T48" i="1"/>
  <c r="T46" i="1"/>
  <c r="T41" i="1"/>
  <c r="T40" i="1"/>
  <c r="T38" i="1"/>
  <c r="T35" i="1"/>
  <c r="T33" i="1"/>
  <c r="T32" i="1"/>
  <c r="T31" i="1"/>
  <c r="T29" i="1"/>
  <c r="T21" i="1"/>
  <c r="T20" i="1"/>
  <c r="T19" i="1"/>
  <c r="T18" i="1"/>
  <c r="T17" i="1"/>
  <c r="T16" i="1"/>
  <c r="T14" i="1"/>
  <c r="T11" i="1"/>
  <c r="T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8" i="1"/>
  <c r="G99" i="1"/>
  <c r="G100" i="1"/>
  <c r="G101" i="1"/>
  <c r="G102" i="1"/>
  <c r="G103" i="1"/>
  <c r="P3" i="1"/>
  <c r="Q3" i="1" s="1"/>
  <c r="P4" i="1"/>
  <c r="Q4" i="1" s="1"/>
  <c r="P5" i="1"/>
  <c r="Q5" i="1" s="1"/>
  <c r="P6" i="1"/>
  <c r="Q6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8" i="1"/>
  <c r="Q18" i="1" s="1"/>
  <c r="P19" i="1"/>
  <c r="Q19" i="1" s="1"/>
  <c r="P20" i="1"/>
  <c r="Q20" i="1" s="1"/>
  <c r="P21" i="1"/>
  <c r="Q21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49" i="1"/>
  <c r="Q49" i="1" s="1"/>
  <c r="P50" i="1"/>
  <c r="Q50" i="1" s="1"/>
  <c r="P51" i="1"/>
  <c r="Q51" i="1" s="1"/>
  <c r="P52" i="1"/>
  <c r="Q52" i="1" s="1"/>
  <c r="P53" i="1"/>
  <c r="Q53" i="1" s="1"/>
  <c r="P54" i="1"/>
  <c r="Q54" i="1" s="1"/>
  <c r="P55" i="1"/>
  <c r="Q55" i="1" s="1"/>
  <c r="P56" i="1"/>
  <c r="Q56" i="1" s="1"/>
  <c r="P57" i="1"/>
  <c r="Q57" i="1" s="1"/>
  <c r="P58" i="1"/>
  <c r="Q58" i="1" s="1"/>
  <c r="P59" i="1"/>
  <c r="Q59" i="1" s="1"/>
  <c r="P60" i="1"/>
  <c r="Q60" i="1" s="1"/>
  <c r="P61" i="1"/>
  <c r="Q61" i="1" s="1"/>
  <c r="P62" i="1"/>
  <c r="Q62" i="1" s="1"/>
  <c r="P63" i="1"/>
  <c r="Q63" i="1" s="1"/>
  <c r="P64" i="1"/>
  <c r="Q64" i="1" s="1"/>
  <c r="P65" i="1"/>
  <c r="Q65" i="1" s="1"/>
  <c r="P72" i="1"/>
  <c r="Q72" i="1" s="1"/>
  <c r="P73" i="1"/>
  <c r="Q73" i="1" s="1"/>
  <c r="P74" i="1"/>
  <c r="Q74" i="1" s="1"/>
  <c r="P75" i="1"/>
  <c r="Q75" i="1" s="1"/>
  <c r="P76" i="1"/>
  <c r="Q76" i="1" s="1"/>
  <c r="P77" i="1"/>
  <c r="Q77" i="1" s="1"/>
  <c r="P78" i="1"/>
  <c r="Q78" i="1" s="1"/>
  <c r="P79" i="1"/>
  <c r="Q79" i="1" s="1"/>
  <c r="P80" i="1"/>
  <c r="Q80" i="1" s="1"/>
  <c r="P81" i="1"/>
  <c r="Q81" i="1" s="1"/>
  <c r="P82" i="1"/>
  <c r="Q82" i="1" s="1"/>
  <c r="P84" i="1"/>
  <c r="Q84" i="1" s="1"/>
  <c r="P85" i="1"/>
  <c r="Q85" i="1" s="1"/>
  <c r="P86" i="1"/>
  <c r="Q86" i="1" s="1"/>
  <c r="P87" i="1"/>
  <c r="Q87" i="1" s="1"/>
  <c r="P88" i="1"/>
  <c r="Q88" i="1" s="1"/>
  <c r="P89" i="1"/>
  <c r="Q89" i="1" s="1"/>
  <c r="P90" i="1"/>
  <c r="Q90" i="1" s="1"/>
  <c r="P91" i="1"/>
  <c r="Q91" i="1" s="1"/>
  <c r="P92" i="1"/>
  <c r="Q92" i="1" s="1"/>
  <c r="P93" i="1"/>
  <c r="Q93" i="1" s="1"/>
  <c r="P94" i="1"/>
  <c r="Q94" i="1" s="1"/>
  <c r="P95" i="1"/>
  <c r="Q95" i="1" s="1"/>
  <c r="P96" i="1"/>
  <c r="Q96" i="1" s="1"/>
  <c r="P98" i="1"/>
  <c r="Q98" i="1" s="1"/>
  <c r="P99" i="1"/>
  <c r="Q99" i="1" s="1"/>
  <c r="P100" i="1"/>
  <c r="Q100" i="1" s="1"/>
  <c r="P101" i="1"/>
  <c r="Q101" i="1" s="1"/>
  <c r="P102" i="1"/>
  <c r="Q102" i="1" s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8" i="1"/>
  <c r="N19" i="1"/>
  <c r="N20" i="1"/>
  <c r="N21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72" i="1"/>
  <c r="N73" i="1"/>
  <c r="N74" i="1"/>
  <c r="N75" i="1"/>
  <c r="N76" i="1"/>
  <c r="N77" i="1"/>
  <c r="N78" i="1"/>
  <c r="N79" i="1"/>
  <c r="N80" i="1"/>
  <c r="N81" i="1"/>
  <c r="N82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8" i="1"/>
  <c r="N99" i="1"/>
  <c r="N100" i="1"/>
  <c r="N101" i="1"/>
  <c r="N102" i="1"/>
  <c r="T10" i="1"/>
  <c r="T13" i="1"/>
  <c r="T15" i="1"/>
  <c r="T28" i="1"/>
  <c r="T30" i="1"/>
  <c r="T34" i="1"/>
  <c r="T36" i="1"/>
  <c r="T39" i="1"/>
  <c r="T43" i="1"/>
  <c r="T44" i="1"/>
  <c r="T47" i="1"/>
  <c r="T49" i="1"/>
  <c r="T53" i="1"/>
  <c r="T55" i="1"/>
  <c r="T57" i="1"/>
  <c r="T61" i="1"/>
  <c r="T63" i="1"/>
  <c r="T65" i="1"/>
  <c r="T73" i="1"/>
  <c r="T75" i="1"/>
  <c r="T84" i="1"/>
  <c r="T85" i="1"/>
  <c r="T88" i="1"/>
  <c r="T89" i="1"/>
  <c r="T92" i="1"/>
  <c r="T93" i="1"/>
  <c r="T96" i="1"/>
  <c r="T98" i="1"/>
  <c r="T101" i="1"/>
  <c r="T102" i="1"/>
  <c r="T12" i="1" l="1"/>
  <c r="T105" i="1" s="1"/>
  <c r="L33" i="1"/>
  <c r="L35" i="1"/>
  <c r="L36" i="1"/>
  <c r="L34" i="1"/>
  <c r="I34" i="1"/>
  <c r="I35" i="1"/>
  <c r="I36" i="1"/>
  <c r="I33" i="1"/>
  <c r="T106" i="1" l="1"/>
  <c r="L108" i="1"/>
  <c r="T104" i="1"/>
  <c r="T108" i="1"/>
  <c r="T107" i="1"/>
  <c r="I50" i="1" l="1"/>
  <c r="M103" i="1" l="1"/>
  <c r="O103" i="1" s="1"/>
  <c r="M17" i="1"/>
  <c r="O17" i="1" s="1"/>
  <c r="N17" i="1" l="1"/>
  <c r="P17" i="1"/>
  <c r="Q17" i="1" s="1"/>
  <c r="P103" i="1"/>
  <c r="Q103" i="1" s="1"/>
  <c r="N103" i="1"/>
  <c r="I32" i="1"/>
  <c r="I31" i="1"/>
  <c r="I30" i="1"/>
  <c r="I29" i="1"/>
  <c r="I28" i="1"/>
  <c r="I27" i="1"/>
  <c r="I103" i="1" l="1"/>
  <c r="J108" i="1" l="1"/>
  <c r="I4" i="1" l="1"/>
  <c r="I5" i="1"/>
  <c r="I6" i="1"/>
  <c r="I7" i="1"/>
  <c r="I3" i="1"/>
  <c r="I38" i="1"/>
  <c r="I39" i="1"/>
  <c r="I40" i="1"/>
  <c r="I41" i="1"/>
  <c r="I42" i="1"/>
  <c r="I61" i="1"/>
  <c r="I60" i="1"/>
  <c r="I59" i="1"/>
  <c r="I58" i="1"/>
  <c r="I57" i="1"/>
  <c r="I51" i="1"/>
  <c r="I52" i="1"/>
  <c r="I53" i="1"/>
  <c r="I54" i="1"/>
  <c r="I55" i="1"/>
  <c r="I56" i="1"/>
  <c r="I101" i="1"/>
  <c r="I98" i="1"/>
  <c r="I99" i="1"/>
  <c r="I100" i="1"/>
  <c r="I102" i="1"/>
  <c r="I96" i="1"/>
  <c r="I95" i="1"/>
  <c r="I94" i="1"/>
  <c r="I93" i="1"/>
  <c r="I92" i="1"/>
  <c r="I91" i="1"/>
  <c r="I90" i="1"/>
  <c r="I108" i="1" l="1"/>
  <c r="I105" i="1"/>
  <c r="I104" i="1"/>
  <c r="I107" i="1"/>
  <c r="I106" i="1"/>
  <c r="M83" i="1" l="1"/>
  <c r="O83" i="1" s="1"/>
  <c r="P83" i="1" l="1"/>
  <c r="Q83" i="1" s="1"/>
  <c r="N83" i="1"/>
  <c r="N108" i="1" s="1"/>
  <c r="K106" i="1"/>
  <c r="L106" i="1"/>
  <c r="J106" i="1"/>
  <c r="K107" i="1"/>
  <c r="L107" i="1"/>
  <c r="K104" i="1"/>
  <c r="L104" i="1"/>
  <c r="J107" i="1"/>
  <c r="J104" i="1"/>
  <c r="Q108" i="1" l="1"/>
  <c r="P108" i="1"/>
  <c r="P106" i="1"/>
  <c r="P104" i="1"/>
  <c r="P107" i="1"/>
  <c r="P105" i="1"/>
  <c r="L105" i="1"/>
  <c r="K105" i="1"/>
  <c r="J105" i="1"/>
  <c r="Q106" i="1" l="1"/>
  <c r="Q105" i="1"/>
  <c r="Q107" i="1"/>
  <c r="Q104" i="1"/>
  <c r="S108" i="1" l="1"/>
  <c r="S106" i="1"/>
  <c r="S105" i="1"/>
  <c r="S107" i="1"/>
  <c r="S104" i="1"/>
  <c r="N106" i="1" l="1"/>
  <c r="N104" i="1"/>
  <c r="N107" i="1"/>
  <c r="N105" i="1"/>
</calcChain>
</file>

<file path=xl/comments1.xml><?xml version="1.0" encoding="utf-8"?>
<comments xmlns="http://schemas.openxmlformats.org/spreadsheetml/2006/main">
  <authors>
    <author>Author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The greener a cell is the cheaper it is to run.  The oranger a cell is the more expensive it is to run.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3" authorId="0" shapeId="0">
      <text>
        <r>
          <rPr>
            <b/>
            <sz val="9"/>
            <color indexed="81"/>
            <rFont val="Tahoma"/>
            <family val="2"/>
          </rPr>
          <t>Enter price per KW hours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4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and is using "Watts Active" power usage.  The "Watts Idle" usage is computed by taking 100%-"Active Duty Cycle" which would be 100%-20%=80%.</t>
        </r>
      </text>
    </comment>
    <comment ref="D115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6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<sst xmlns="http://schemas.openxmlformats.org/spreadsheetml/2006/main" count="314" uniqueCount="76">
  <si>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</si>
  <si>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</si>
  <si>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</si>
  <si>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</si>
  <si>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</si>
  <si>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</si>
  <si>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</si>
  <si>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</si>
  <si>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</si>
  <si>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</si>
  <si>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Red NAS HOME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</si>
  <si>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</si>
  <si>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</si>
  <si>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</si>
  <si>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</si>
  <si>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</si>
  <si>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</si>
  <si>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</si>
  <si>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</si>
  <si>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</si>
  <si>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</si>
  <si>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Enterprise NAS</t>
  </si>
  <si>
    <t>Archive</t>
  </si>
  <si>
    <t>$ TB/year</t>
  </si>
  <si>
    <t>WORK IN PROGRESS</t>
  </si>
  <si>
    <t>Energy$year</t>
  </si>
  <si>
    <t>MEDIAN</t>
  </si>
  <si>
    <t>MIN</t>
  </si>
  <si>
    <t>MAX</t>
  </si>
  <si>
    <t>Most Recent Update</t>
  </si>
  <si>
    <t>Warnty</t>
  </si>
  <si>
    <t>PerfCmp54</t>
  </si>
  <si>
    <t>SizTB</t>
  </si>
  <si>
    <t>Ultrastar 7K6</t>
  </si>
  <si>
    <t>Ultrastar Archive Ha10</t>
  </si>
  <si>
    <t>Blue</t>
  </si>
  <si>
    <t>Active Duty Cycle</t>
  </si>
  <si>
    <t>Power On Hours Year</t>
  </si>
  <si>
    <t>TBD</t>
  </si>
  <si>
    <t>WattsStandby</t>
  </si>
  <si>
    <t>Enterprise NAS 2.5"</t>
  </si>
  <si>
    <t>Enterprise NAS Helium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</si>
  <si>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</si>
  <si>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</si>
  <si>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</si>
  <si>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</si>
  <si>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</si>
  <si>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</si>
  <si>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</si>
  <si>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NAND Cache</t>
  </si>
  <si>
    <t>Helium filled</t>
  </si>
  <si>
    <t>COUNT</t>
  </si>
  <si>
    <t>Ultrastar C10K1800 2.5"</t>
  </si>
  <si>
    <t>See http://hdd.userbenchmark.com for disk drive comparisons</t>
  </si>
  <si>
    <t>Notes</t>
  </si>
  <si>
    <t>Toshiba</t>
  </si>
  <si>
    <t>N300</t>
  </si>
  <si>
    <t>Gold Datacenter</t>
  </si>
  <si>
    <t>FireCuda SSHD</t>
  </si>
  <si>
    <t>8GiB NAND</t>
  </si>
  <si>
    <t>FireCuda SSHD 2.5"</t>
  </si>
  <si>
    <t>Travelstar 2.5"</t>
  </si>
  <si>
    <t>Incremental$Warr/Yr</t>
  </si>
  <si>
    <t xml:space="preserve">Constellation ES.3 </t>
  </si>
  <si>
    <t>Energy$yearPerTB</t>
  </si>
  <si>
    <t>$PerTB</t>
  </si>
  <si>
    <t>BarraCuda 2.5"</t>
  </si>
  <si>
    <t>Energy</t>
  </si>
  <si>
    <t>Type</t>
  </si>
  <si>
    <t>NAS</t>
  </si>
  <si>
    <t>Days In Month</t>
  </si>
  <si>
    <t>Hours In Day</t>
  </si>
  <si>
    <t>Months In Year</t>
  </si>
  <si>
    <t>Hours In Month</t>
  </si>
  <si>
    <t>These are incomplete at thi time…</t>
  </si>
  <si>
    <t>P300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</si>
</sst>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/>
      <right style="medium">
        <color auto="1"/>
      </right>
      <top/>
      <bottom style="medium">
        <color theme="4" tint="0.79998168889431442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0" fillId="0" borderId="6" xfId="0" applyNumberFormat="1" applyFill="1" applyBorder="1"/>
    <xf numFmtId="164" fontId="0" fillId="0" borderId="8" xfId="0" applyNumberFormat="1" applyFill="1" applyBorder="1"/>
    <xf numFmtId="164" fontId="0" fillId="0" borderId="7" xfId="0" applyNumberFormat="1" applyBorder="1"/>
    <xf numFmtId="164" fontId="0" fillId="0" borderId="8" xfId="0" applyNumberFormat="1" applyBorder="1"/>
    <xf numFmtId="2" fontId="0" fillId="0" borderId="0" xfId="0" applyNumberFormat="1" applyBorder="1" applyAlignment="1">
      <alignment horizontal="center"/>
    </xf>
    <xf numFmtId="2" fontId="0" fillId="0" borderId="0" xfId="0" applyNumberFormat="1" applyBorder="1" applyAlignment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2" fontId="0" fillId="0" borderId="0" xfId="0" applyNumberFormat="1"/>
    <xf numFmtId="0" fontId="0" fillId="0" borderId="0" xfId="0" applyNumberFormat="1" applyBorder="1"/>
    <xf numFmtId="0" fontId="3" fillId="2" borderId="4" xfId="0" applyFont="1" applyFill="1" applyBorder="1" applyAlignment="1">
      <alignment horizontal="center"/>
    </xf>
    <xf numFmtId="0" fontId="1" fillId="4" borderId="15" xfId="0" applyFont="1" applyFill="1" applyBorder="1"/>
    <xf numFmtId="2" fontId="1" fillId="4" borderId="16" xfId="0" applyNumberFormat="1" applyFont="1" applyFill="1" applyBorder="1"/>
    <xf numFmtId="44" fontId="1" fillId="4" borderId="16" xfId="0" applyNumberFormat="1" applyFont="1" applyFill="1" applyBorder="1"/>
    <xf numFmtId="0" fontId="1" fillId="4" borderId="16" xfId="0" applyFont="1" applyFill="1" applyBorder="1"/>
    <xf numFmtId="44" fontId="1" fillId="4" borderId="17" xfId="0" applyNumberFormat="1" applyFont="1" applyFill="1" applyBorder="1"/>
    <xf numFmtId="0" fontId="1" fillId="4" borderId="18" xfId="0" applyFont="1" applyFill="1" applyBorder="1"/>
    <xf numFmtId="2" fontId="1" fillId="4" borderId="19" xfId="0" applyNumberFormat="1" applyFont="1" applyFill="1" applyBorder="1"/>
    <xf numFmtId="0" fontId="1" fillId="4" borderId="19" xfId="0" applyFont="1" applyFill="1" applyBorder="1"/>
    <xf numFmtId="44" fontId="1" fillId="4" borderId="19" xfId="0" applyNumberFormat="1" applyFont="1" applyFill="1" applyBorder="1"/>
    <xf numFmtId="44" fontId="1" fillId="4" borderId="20" xfId="0" applyNumberFormat="1" applyFont="1" applyFill="1" applyBorder="1"/>
    <xf numFmtId="0" fontId="0" fillId="4" borderId="19" xfId="0" applyFill="1" applyBorder="1"/>
    <xf numFmtId="0" fontId="1" fillId="4" borderId="21" xfId="0" applyFont="1" applyFill="1" applyBorder="1"/>
    <xf numFmtId="0" fontId="1" fillId="4" borderId="22" xfId="0" applyFont="1" applyFill="1" applyBorder="1"/>
    <xf numFmtId="0" fontId="0" fillId="4" borderId="22" xfId="0" applyFill="1" applyBorder="1"/>
    <xf numFmtId="0" fontId="1" fillId="4" borderId="23" xfId="0" applyFont="1" applyFill="1" applyBorder="1"/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0" fillId="5" borderId="28" xfId="0" applyFill="1" applyBorder="1"/>
    <xf numFmtId="9" fontId="0" fillId="6" borderId="28" xfId="0" applyNumberFormat="1" applyFill="1" applyBorder="1"/>
    <xf numFmtId="0" fontId="0" fillId="6" borderId="28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28" xfId="0" applyFont="1" applyFill="1" applyBorder="1"/>
    <xf numFmtId="8" fontId="0" fillId="0" borderId="31" xfId="0" applyNumberFormat="1" applyBorder="1"/>
    <xf numFmtId="8" fontId="0" fillId="0" borderId="32" xfId="0" applyNumberFormat="1" applyBorder="1"/>
    <xf numFmtId="8" fontId="0" fillId="0" borderId="33" xfId="0" applyNumberFormat="1" applyBorder="1"/>
    <xf numFmtId="8" fontId="0" fillId="0" borderId="6" xfId="0" applyNumberFormat="1" applyBorder="1"/>
    <xf numFmtId="0" fontId="0" fillId="0" borderId="33" xfId="0" applyBorder="1"/>
    <xf numFmtId="8" fontId="0" fillId="0" borderId="6" xfId="0" applyNumberFormat="1" applyFill="1" applyBorder="1"/>
    <xf numFmtId="8" fontId="0" fillId="0" borderId="34" xfId="0" applyNumberFormat="1" applyBorder="1"/>
    <xf numFmtId="8" fontId="0" fillId="0" borderId="35" xfId="0" applyNumberFormat="1" applyBorder="1"/>
    <xf numFmtId="166" fontId="0" fillId="6" borderId="28" xfId="0" applyNumberFormat="1" applyFill="1" applyBorder="1" applyAlignment="1"/>
    <xf numFmtId="165" fontId="1" fillId="6" borderId="29" xfId="0" applyNumberFormat="1" applyFont="1" applyFill="1" applyBorder="1" applyAlignment="1">
      <alignment horizontal="center"/>
    </xf>
    <xf numFmtId="165" fontId="1" fillId="6" borderId="30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3" borderId="29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8" fillId="3" borderId="29" xfId="0" applyFont="1" applyFill="1" applyBorder="1" applyAlignment="1"/>
    <xf numFmtId="0" fontId="7" fillId="3" borderId="30" xfId="0" applyFont="1" applyFill="1" applyBorder="1" applyAlignment="1"/>
  </cellXfs>
  <cellStyles count="1">
    <cellStyle name="Normal" xfId="0" builtinId="0"/>
  </cellStyles>
  <dxfs count="74"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rgb="FF00B0F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rgb="FF00B0F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0000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2" formatCode="&quot;$&quot;#,##0.00_);[Red]\(&quot;$&quot;#,##0.00\)"/>
      <border diagonalUp="0" diagonalDown="0">
        <left/>
        <right style="medium">
          <color auto="1"/>
        </right>
        <top/>
        <bottom/>
      </border>
    </dxf>
    <dxf>
      <numFmt numFmtId="12" formatCode="&quot;$&quot;#,##0.00_);[Red]\(&quot;$&quot;#,##0.00\)"/>
      <border diagonalUp="0" diagonalDown="0">
        <left style="medium">
          <color auto="1"/>
        </left>
        <right/>
        <top/>
        <bottom/>
      </border>
    </dxf>
    <dxf>
      <numFmt numFmtId="0" formatCode="General"/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thick">
          <color auto="1"/>
        </left>
        <right/>
        <top/>
        <bottom/>
        <vertical/>
        <horizontal/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3" formatCode="0%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NAS Disk Drive Price</a:t>
            </a:r>
            <a:r>
              <a:rPr lang="en-US" baseline="0"/>
              <a:t> </a:t>
            </a:r>
            <a:r>
              <a:rPr lang="en-US"/>
              <a:t>Comparisons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03937007874033"/>
          <c:y val="0.19023148148148186"/>
          <c:w val="0.69406736657917834"/>
          <c:h val="0.62271617089530451"/>
        </c:manualLayout>
      </c:layout>
      <c:scatterChart>
        <c:scatterStyle val="lineMarker"/>
        <c:varyColors val="0"/>
        <c:ser>
          <c:idx val="1"/>
          <c:order val="0"/>
          <c:tx>
            <c:strRef>
              <c:f>'Drive Table'!$C$3:$C$103</c:f>
              <c:strCache>
                <c:ptCount val="101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Deskstar NAS</c:v>
                </c:pt>
                <c:pt idx="5">
                  <c:v>Travelstar 2.5"</c:v>
                </c:pt>
                <c:pt idx="6">
                  <c:v>Ultrastar 7K6</c:v>
                </c:pt>
                <c:pt idx="7">
                  <c:v>Ultrastar 7K6</c:v>
                </c:pt>
                <c:pt idx="8">
                  <c:v>Ultrastar 7K6</c:v>
                </c:pt>
                <c:pt idx="9">
                  <c:v>Ultrastar 7K6</c:v>
                </c:pt>
                <c:pt idx="10">
                  <c:v>Ultrastar Archive Ha10</c:v>
                </c:pt>
                <c:pt idx="11">
                  <c:v>Ultrastar C10K1800 2.5"</c:v>
                </c:pt>
                <c:pt idx="12">
                  <c:v>Archive</c:v>
                </c:pt>
                <c:pt idx="13">
                  <c:v>Archive</c:v>
                </c:pt>
                <c:pt idx="14">
                  <c:v>Archive</c:v>
                </c:pt>
                <c:pt idx="15">
                  <c:v>BarraCuda</c:v>
                </c:pt>
                <c:pt idx="16">
                  <c:v>BarraCuda</c:v>
                </c:pt>
                <c:pt idx="17">
                  <c:v>BarraCuda</c:v>
                </c:pt>
                <c:pt idx="18">
                  <c:v>BarraCuda</c:v>
                </c:pt>
                <c:pt idx="19">
                  <c:v>BarraCuda 2.5"</c:v>
                </c:pt>
                <c:pt idx="20">
                  <c:v>BarraCuda 2.5"</c:v>
                </c:pt>
                <c:pt idx="21">
                  <c:v>BarraCuda 2.5"</c:v>
                </c:pt>
                <c:pt idx="22">
                  <c:v>BarraCuda 2.5"</c:v>
                </c:pt>
                <c:pt idx="23">
                  <c:v>BarraCuda 2.5"</c:v>
                </c:pt>
                <c:pt idx="24">
                  <c:v>BarraCuda Pro</c:v>
                </c:pt>
                <c:pt idx="25">
                  <c:v>BarraCuda Pro</c:v>
                </c:pt>
                <c:pt idx="26">
                  <c:v>BarraCuda Pro</c:v>
                </c:pt>
                <c:pt idx="27">
                  <c:v>BarraCuda Pro</c:v>
                </c:pt>
                <c:pt idx="28">
                  <c:v>BarraCuda Pro</c:v>
                </c:pt>
                <c:pt idx="29">
                  <c:v>BarraCuda Pro</c:v>
                </c:pt>
                <c:pt idx="30">
                  <c:v>Constellation ES.3 </c:v>
                </c:pt>
                <c:pt idx="31">
                  <c:v>Constellation ES.3 </c:v>
                </c:pt>
                <c:pt idx="32">
                  <c:v>Constellation ES.3 </c:v>
                </c:pt>
                <c:pt idx="33">
                  <c:v>Constellation ES.3 </c:v>
                </c:pt>
                <c:pt idx="34">
                  <c:v>Enterprise NAS</c:v>
                </c:pt>
                <c:pt idx="35">
                  <c:v>Enterprise NAS</c:v>
                </c:pt>
                <c:pt idx="36">
                  <c:v>Enterprise NAS</c:v>
                </c:pt>
                <c:pt idx="37">
                  <c:v>Enterprise NAS</c:v>
                </c:pt>
                <c:pt idx="38">
                  <c:v>Enterprise NAS</c:v>
                </c:pt>
                <c:pt idx="39">
                  <c:v>Enterprise NAS</c:v>
                </c:pt>
                <c:pt idx="40">
                  <c:v>Enterprise NAS 2.5"</c:v>
                </c:pt>
                <c:pt idx="41">
                  <c:v>Enterprise NAS 2.5"</c:v>
                </c:pt>
                <c:pt idx="42">
                  <c:v>Enterprise NAS Helium</c:v>
                </c:pt>
                <c:pt idx="43">
                  <c:v>FireCuda SSHD</c:v>
                </c:pt>
                <c:pt idx="44">
                  <c:v>FireCuda SSHD</c:v>
                </c:pt>
                <c:pt idx="45">
                  <c:v>FireCuda SSHD 2.5"</c:v>
                </c:pt>
                <c:pt idx="46">
                  <c:v>FireCuda SSHD 2.5"</c:v>
                </c:pt>
                <c:pt idx="47">
                  <c:v>IronWolf</c:v>
                </c:pt>
                <c:pt idx="48">
                  <c:v>IronWolf</c:v>
                </c:pt>
                <c:pt idx="49">
                  <c:v>IronWolf</c:v>
                </c:pt>
                <c:pt idx="50">
                  <c:v>IronWolf</c:v>
                </c:pt>
                <c:pt idx="51">
                  <c:v>IronWolf</c:v>
                </c:pt>
                <c:pt idx="52">
                  <c:v>IronWolf</c:v>
                </c:pt>
                <c:pt idx="53">
                  <c:v>IronWolf</c:v>
                </c:pt>
                <c:pt idx="54">
                  <c:v>IronWolf Pro</c:v>
                </c:pt>
                <c:pt idx="55">
                  <c:v>IronWolf Pro</c:v>
                </c:pt>
                <c:pt idx="56">
                  <c:v>IronWolf Pro</c:v>
                </c:pt>
                <c:pt idx="57">
                  <c:v>IronWolf Pro</c:v>
                </c:pt>
                <c:pt idx="58">
                  <c:v>IronWolf Pro</c:v>
                </c:pt>
                <c:pt idx="59">
                  <c:v>Terascale</c:v>
                </c:pt>
                <c:pt idx="60">
                  <c:v>N300</c:v>
                </c:pt>
                <c:pt idx="61">
                  <c:v>N300</c:v>
                </c:pt>
                <c:pt idx="62">
                  <c:v>N300</c:v>
                </c:pt>
                <c:pt idx="63">
                  <c:v>P300</c:v>
                </c:pt>
                <c:pt idx="64">
                  <c:v>P300</c:v>
                </c:pt>
                <c:pt idx="65">
                  <c:v>P300</c:v>
                </c:pt>
                <c:pt idx="66">
                  <c:v>P300</c:v>
                </c:pt>
                <c:pt idx="67">
                  <c:v>P300</c:v>
                </c:pt>
                <c:pt idx="68">
                  <c:v>P300</c:v>
                </c:pt>
                <c:pt idx="69">
                  <c:v>Black</c:v>
                </c:pt>
                <c:pt idx="70">
                  <c:v>Black</c:v>
                </c:pt>
                <c:pt idx="71">
                  <c:v>Black</c:v>
                </c:pt>
                <c:pt idx="72">
                  <c:v>Black</c:v>
                </c:pt>
                <c:pt idx="73">
                  <c:v>Black</c:v>
                </c:pt>
                <c:pt idx="74">
                  <c:v>Black</c:v>
                </c:pt>
                <c:pt idx="75">
                  <c:v>Blue</c:v>
                </c:pt>
                <c:pt idx="76">
                  <c:v>Blue</c:v>
                </c:pt>
                <c:pt idx="77">
                  <c:v>Blue</c:v>
                </c:pt>
                <c:pt idx="78">
                  <c:v>Blue</c:v>
                </c:pt>
                <c:pt idx="79">
                  <c:v>Blue</c:v>
                </c:pt>
                <c:pt idx="80">
                  <c:v>Blue</c:v>
                </c:pt>
                <c:pt idx="81">
                  <c:v>Gold Datacenter</c:v>
                </c:pt>
                <c:pt idx="82">
                  <c:v>Gold Datacenter</c:v>
                </c:pt>
                <c:pt idx="83">
                  <c:v>Gold Datacenter</c:v>
                </c:pt>
                <c:pt idx="84">
                  <c:v>Gold Datacenter</c:v>
                </c:pt>
                <c:pt idx="85">
                  <c:v>Gold Datacenter</c:v>
                </c:pt>
                <c:pt idx="86">
                  <c:v>Gold Datacenter</c:v>
                </c:pt>
                <c:pt idx="87">
                  <c:v>Red NAS HOME</c:v>
                </c:pt>
                <c:pt idx="88">
                  <c:v>Red NAS HOME</c:v>
                </c:pt>
                <c:pt idx="89">
                  <c:v>Red NAS HOME</c:v>
                </c:pt>
                <c:pt idx="90">
                  <c:v>Red NAS HOME</c:v>
                </c:pt>
                <c:pt idx="91">
                  <c:v>Red NAS HOME</c:v>
                </c:pt>
                <c:pt idx="92">
                  <c:v>Red NAS HOME</c:v>
                </c:pt>
                <c:pt idx="93">
                  <c:v>Red NAS HOME</c:v>
                </c:pt>
                <c:pt idx="94">
                  <c:v>Red NAS HOME</c:v>
                </c:pt>
                <c:pt idx="95">
                  <c:v>RED NAS Pro</c:v>
                </c:pt>
                <c:pt idx="96">
                  <c:v>RED NAS Pro</c:v>
                </c:pt>
                <c:pt idx="97">
                  <c:v>RED NAS Pro</c:v>
                </c:pt>
                <c:pt idx="98">
                  <c:v>RED NAS Pro</c:v>
                </c:pt>
                <c:pt idx="99">
                  <c:v>RED NAS Pro</c:v>
                </c:pt>
                <c:pt idx="100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'Drive Table'!$F$3:$F$103</c:f>
              <c:numCache>
                <c:formatCode>General</c:formatCode>
                <c:ptCount val="101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8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1.8</c:v>
                </c:pt>
                <c:pt idx="12">
                  <c:v>5</c:v>
                </c:pt>
                <c:pt idx="13">
                  <c:v>6</c:v>
                </c:pt>
                <c:pt idx="14">
                  <c:v>8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2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8</c:v>
                </c:pt>
                <c:pt idx="29">
                  <c:v>10</c:v>
                </c:pt>
                <c:pt idx="30">
                  <c:v>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1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6</c:v>
                </c:pt>
                <c:pt idx="39">
                  <c:v>8</c:v>
                </c:pt>
                <c:pt idx="40">
                  <c:v>1</c:v>
                </c:pt>
                <c:pt idx="41">
                  <c:v>2</c:v>
                </c:pt>
                <c:pt idx="42">
                  <c:v>10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2</c:v>
                </c:pt>
                <c:pt idx="49">
                  <c:v>3</c:v>
                </c:pt>
                <c:pt idx="50">
                  <c:v>4</c:v>
                </c:pt>
                <c:pt idx="51">
                  <c:v>6</c:v>
                </c:pt>
                <c:pt idx="52">
                  <c:v>8</c:v>
                </c:pt>
                <c:pt idx="53">
                  <c:v>10</c:v>
                </c:pt>
                <c:pt idx="54">
                  <c:v>2</c:v>
                </c:pt>
                <c:pt idx="55">
                  <c:v>4</c:v>
                </c:pt>
                <c:pt idx="56">
                  <c:v>6</c:v>
                </c:pt>
                <c:pt idx="57">
                  <c:v>8</c:v>
                </c:pt>
                <c:pt idx="58">
                  <c:v>10</c:v>
                </c:pt>
                <c:pt idx="59">
                  <c:v>4</c:v>
                </c:pt>
                <c:pt idx="60">
                  <c:v>4</c:v>
                </c:pt>
                <c:pt idx="61">
                  <c:v>6</c:v>
                </c:pt>
                <c:pt idx="62">
                  <c:v>8</c:v>
                </c:pt>
                <c:pt idx="63">
                  <c:v>1</c:v>
                </c:pt>
                <c:pt idx="64">
                  <c:v>2</c:v>
                </c:pt>
                <c:pt idx="65">
                  <c:v>3</c:v>
                </c:pt>
                <c:pt idx="66">
                  <c:v>4</c:v>
                </c:pt>
                <c:pt idx="67">
                  <c:v>5</c:v>
                </c:pt>
                <c:pt idx="68">
                  <c:v>6</c:v>
                </c:pt>
                <c:pt idx="69">
                  <c:v>1</c:v>
                </c:pt>
                <c:pt idx="70">
                  <c:v>2</c:v>
                </c:pt>
                <c:pt idx="71">
                  <c:v>4</c:v>
                </c:pt>
                <c:pt idx="72">
                  <c:v>5</c:v>
                </c:pt>
                <c:pt idx="73">
                  <c:v>6</c:v>
                </c:pt>
                <c:pt idx="74">
                  <c:v>8</c:v>
                </c:pt>
                <c:pt idx="75">
                  <c:v>1</c:v>
                </c:pt>
                <c:pt idx="76">
                  <c:v>2</c:v>
                </c:pt>
                <c:pt idx="77">
                  <c:v>3</c:v>
                </c:pt>
                <c:pt idx="78">
                  <c:v>4</c:v>
                </c:pt>
                <c:pt idx="79">
                  <c:v>5</c:v>
                </c:pt>
                <c:pt idx="80">
                  <c:v>6</c:v>
                </c:pt>
                <c:pt idx="81">
                  <c:v>1</c:v>
                </c:pt>
                <c:pt idx="82">
                  <c:v>2</c:v>
                </c:pt>
                <c:pt idx="83">
                  <c:v>4</c:v>
                </c:pt>
                <c:pt idx="84">
                  <c:v>6</c:v>
                </c:pt>
                <c:pt idx="85">
                  <c:v>8</c:v>
                </c:pt>
                <c:pt idx="86">
                  <c:v>10</c:v>
                </c:pt>
                <c:pt idx="87">
                  <c:v>1</c:v>
                </c:pt>
                <c:pt idx="88">
                  <c:v>2</c:v>
                </c:pt>
                <c:pt idx="89">
                  <c:v>3</c:v>
                </c:pt>
                <c:pt idx="90">
                  <c:v>4</c:v>
                </c:pt>
                <c:pt idx="91">
                  <c:v>5</c:v>
                </c:pt>
                <c:pt idx="92">
                  <c:v>6</c:v>
                </c:pt>
                <c:pt idx="93">
                  <c:v>8</c:v>
                </c:pt>
                <c:pt idx="94">
                  <c:v>10</c:v>
                </c:pt>
                <c:pt idx="95">
                  <c:v>2</c:v>
                </c:pt>
                <c:pt idx="96">
                  <c:v>3</c:v>
                </c:pt>
                <c:pt idx="97">
                  <c:v>4</c:v>
                </c:pt>
                <c:pt idx="98">
                  <c:v>5</c:v>
                </c:pt>
                <c:pt idx="99">
                  <c:v>6</c:v>
                </c:pt>
                <c:pt idx="100">
                  <c:v>8</c:v>
                </c:pt>
              </c:numCache>
            </c:numRef>
          </c:xVal>
          <c:yVal>
            <c:numRef>
              <c:f>'Drive Table'!$N$3:$N$103</c:f>
              <c:numCache>
                <c:formatCode>"$"#,##0.00</c:formatCode>
                <c:ptCount val="101"/>
                <c:pt idx="0">
                  <c:v>34.996666666666663</c:v>
                </c:pt>
                <c:pt idx="1">
                  <c:v>28.747499999999999</c:v>
                </c:pt>
                <c:pt idx="2">
                  <c:v>49.922000000000004</c:v>
                </c:pt>
                <c:pt idx="3">
                  <c:v>29.998333333333335</c:v>
                </c:pt>
                <c:pt idx="4">
                  <c:v>34.998750000000001</c:v>
                </c:pt>
                <c:pt idx="5">
                  <c:v>53.99</c:v>
                </c:pt>
                <c:pt idx="6">
                  <c:v>74.67</c:v>
                </c:pt>
                <c:pt idx="7">
                  <c:v>63.997500000000002</c:v>
                </c:pt>
                <c:pt idx="8">
                  <c:v>76.284000000000006</c:v>
                </c:pt>
                <c:pt idx="9">
                  <c:v>50.254999999999995</c:v>
                </c:pt>
                <c:pt idx="10">
                  <c:v>46.625</c:v>
                </c:pt>
                <c:pt idx="11">
                  <c:v>324.93888888888887</c:v>
                </c:pt>
                <c:pt idx="12">
                  <c:v>38.402000000000001</c:v>
                </c:pt>
                <c:pt idx="13">
                  <c:v>33.911666666666669</c:v>
                </c:pt>
                <c:pt idx="14">
                  <c:v>25.861499999999999</c:v>
                </c:pt>
                <c:pt idx="15">
                  <c:v>49.99</c:v>
                </c:pt>
                <c:pt idx="16">
                  <c:v>33.494999999999997</c:v>
                </c:pt>
                <c:pt idx="17">
                  <c:v>29.996666666666666</c:v>
                </c:pt>
                <c:pt idx="18">
                  <c:v>28.5</c:v>
                </c:pt>
                <c:pt idx="19">
                  <c:v>48.99</c:v>
                </c:pt>
                <c:pt idx="20">
                  <c:v>44.494999999999997</c:v>
                </c:pt>
                <c:pt idx="21">
                  <c:v>46.663333333333334</c:v>
                </c:pt>
                <c:pt idx="22">
                  <c:v>44.997500000000002</c:v>
                </c:pt>
                <c:pt idx="23">
                  <c:v>43.998000000000005</c:v>
                </c:pt>
                <c:pt idx="24">
                  <c:v>39.994999999999997</c:v>
                </c:pt>
                <c:pt idx="25">
                  <c:v>46.247500000000002</c:v>
                </c:pt>
                <c:pt idx="26">
                  <c:v>42.998000000000005</c:v>
                </c:pt>
                <c:pt idx="27">
                  <c:v>43.164999999999999</c:v>
                </c:pt>
                <c:pt idx="28">
                  <c:v>41.873750000000001</c:v>
                </c:pt>
                <c:pt idx="29">
                  <c:v>43.499000000000002</c:v>
                </c:pt>
                <c:pt idx="30">
                  <c:v>95</c:v>
                </c:pt>
                <c:pt idx="31">
                  <c:v>62</c:v>
                </c:pt>
                <c:pt idx="32">
                  <c:v>49.99666666666667</c:v>
                </c:pt>
                <c:pt idx="33">
                  <c:v>39.997500000000002</c:v>
                </c:pt>
                <c:pt idx="34">
                  <c:v>99.99</c:v>
                </c:pt>
                <c:pt idx="35">
                  <c:v>69.995000000000005</c:v>
                </c:pt>
                <c:pt idx="36">
                  <c:v>58.973333333333329</c:v>
                </c:pt>
                <c:pt idx="37">
                  <c:v>44.997500000000002</c:v>
                </c:pt>
                <c:pt idx="38">
                  <c:v>39.966666666666669</c:v>
                </c:pt>
                <c:pt idx="39">
                  <c:v>46.248750000000001</c:v>
                </c:pt>
                <c:pt idx="40">
                  <c:v>188.8</c:v>
                </c:pt>
                <c:pt idx="41">
                  <c:v>159.995</c:v>
                </c:pt>
                <c:pt idx="42">
                  <c:v>42.198999999999998</c:v>
                </c:pt>
                <c:pt idx="43">
                  <c:v>69.989999999999995</c:v>
                </c:pt>
                <c:pt idx="44">
                  <c:v>44.994999999999997</c:v>
                </c:pt>
                <c:pt idx="45">
                  <c:v>54.99</c:v>
                </c:pt>
                <c:pt idx="46">
                  <c:v>39.994999999999997</c:v>
                </c:pt>
                <c:pt idx="47">
                  <c:v>64.489999999999995</c:v>
                </c:pt>
                <c:pt idx="48">
                  <c:v>37.494999999999997</c:v>
                </c:pt>
                <c:pt idx="49">
                  <c:v>36.333333333333336</c:v>
                </c:pt>
                <c:pt idx="50">
                  <c:v>28.747499999999999</c:v>
                </c:pt>
                <c:pt idx="51">
                  <c:v>31.665000000000003</c:v>
                </c:pt>
                <c:pt idx="52">
                  <c:v>29.998750000000001</c:v>
                </c:pt>
                <c:pt idx="53">
                  <c:v>36.999000000000002</c:v>
                </c:pt>
                <c:pt idx="54">
                  <c:v>72.495000000000005</c:v>
                </c:pt>
                <c:pt idx="55">
                  <c:v>52.497500000000002</c:v>
                </c:pt>
                <c:pt idx="56">
                  <c:v>41.664999999999999</c:v>
                </c:pt>
                <c:pt idx="57">
                  <c:v>37.498750000000001</c:v>
                </c:pt>
                <c:pt idx="58">
                  <c:v>42.698</c:v>
                </c:pt>
                <c:pt idx="59">
                  <c:v>47.497500000000002</c:v>
                </c:pt>
                <c:pt idx="60">
                  <c:v>34.997500000000002</c:v>
                </c:pt>
                <c:pt idx="61">
                  <c:v>35.831666666666671</c:v>
                </c:pt>
                <c:pt idx="62">
                  <c:v>31.248750000000001</c:v>
                </c:pt>
                <c:pt idx="63">
                  <c:v>50.14</c:v>
                </c:pt>
                <c:pt idx="64">
                  <c:v>32.494999999999997</c:v>
                </c:pt>
                <c:pt idx="65">
                  <c:v>26.33</c:v>
                </c:pt>
                <c:pt idx="66">
                  <c:v>28.747499999999999</c:v>
                </c:pt>
                <c:pt idx="67">
                  <c:v>31.998000000000001</c:v>
                </c:pt>
                <c:pt idx="68">
                  <c:v>23.331666666666667</c:v>
                </c:pt>
                <c:pt idx="69">
                  <c:v>69.989999999999995</c:v>
                </c:pt>
                <c:pt idx="70">
                  <c:v>57.494999999999997</c:v>
                </c:pt>
                <c:pt idx="71">
                  <c:v>44.997500000000002</c:v>
                </c:pt>
                <c:pt idx="72">
                  <c:v>43.998000000000005</c:v>
                </c:pt>
                <c:pt idx="73">
                  <c:v>41.664999999999999</c:v>
                </c:pt>
                <c:pt idx="74">
                  <c:v>41.248750000000001</c:v>
                </c:pt>
                <c:pt idx="75">
                  <c:v>49.99</c:v>
                </c:pt>
                <c:pt idx="76">
                  <c:v>32.494999999999997</c:v>
                </c:pt>
                <c:pt idx="77">
                  <c:v>26.66333333333333</c:v>
                </c:pt>
                <c:pt idx="78">
                  <c:v>28.247499999999999</c:v>
                </c:pt>
                <c:pt idx="79">
                  <c:v>47.177999999999997</c:v>
                </c:pt>
                <c:pt idx="80">
                  <c:v>32</c:v>
                </c:pt>
                <c:pt idx="81">
                  <c:v>86.99</c:v>
                </c:pt>
                <c:pt idx="82">
                  <c:v>67.495000000000005</c:v>
                </c:pt>
                <c:pt idx="83">
                  <c:v>46.997500000000002</c:v>
                </c:pt>
                <c:pt idx="84">
                  <c:v>44.998333333333335</c:v>
                </c:pt>
                <c:pt idx="85">
                  <c:v>47.498750000000001</c:v>
                </c:pt>
                <c:pt idx="86">
                  <c:v>46.999000000000002</c:v>
                </c:pt>
                <c:pt idx="87">
                  <c:v>62.99</c:v>
                </c:pt>
                <c:pt idx="88">
                  <c:v>42.494999999999997</c:v>
                </c:pt>
                <c:pt idx="89">
                  <c:v>36.663333333333334</c:v>
                </c:pt>
                <c:pt idx="90">
                  <c:v>34.262500000000003</c:v>
                </c:pt>
                <c:pt idx="91">
                  <c:v>56.372</c:v>
                </c:pt>
                <c:pt idx="92">
                  <c:v>35.831666666666671</c:v>
                </c:pt>
                <c:pt idx="93">
                  <c:v>34.998750000000001</c:v>
                </c:pt>
                <c:pt idx="94">
                  <c:v>37.899000000000001</c:v>
                </c:pt>
                <c:pt idx="95">
                  <c:v>69.995000000000005</c:v>
                </c:pt>
                <c:pt idx="96">
                  <c:v>67.33</c:v>
                </c:pt>
                <c:pt idx="97">
                  <c:v>49.997500000000002</c:v>
                </c:pt>
                <c:pt idx="98">
                  <c:v>51.998000000000005</c:v>
                </c:pt>
                <c:pt idx="99">
                  <c:v>41.664999999999999</c:v>
                </c:pt>
                <c:pt idx="100">
                  <c:v>44.998875000000005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17835776"/>
        <c:axId val="217715072"/>
      </c:scatterChart>
      <c:valAx>
        <c:axId val="217835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Size</a:t>
                </a:r>
                <a:r>
                  <a:rPr lang="en-US" sz="2000" baseline="0"/>
                  <a:t> in Terabytes</a:t>
                </a:r>
                <a:endParaRPr lang="en-US" sz="2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715072"/>
        <c:crosses val="autoZero"/>
        <c:crossBetween val="midCat"/>
      </c:valAx>
      <c:valAx>
        <c:axId val="21771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835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628650</xdr:colOff>
      <xdr:row>2</xdr:row>
      <xdr:rowOff>161925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3949A19-A484-4B6F-BD0E-F7E4984497A5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le5" displayName="Table5" ref="A2:U103" totalsRowShown="0" headerRowDxfId="73" headerRowBorderDxfId="72" tableBorderDxfId="71">
  <autoFilter ref="A2:U103"/>
  <sortState ref="A3:R91">
    <sortCondition ref="B3:B91"/>
    <sortCondition ref="C3:C91"/>
    <sortCondition ref="F3:F91"/>
    <sortCondition ref="E3:E91"/>
  </sortState>
  <tableColumns count="21">
    <tableColumn id="1" name="Date" dataDxfId="70"/>
    <tableColumn id="2" name="Manu"/>
    <tableColumn id="3" name="Model"/>
    <tableColumn id="21" name="Type" dataDxfId="69"/>
    <tableColumn id="4" name="RPM"/>
    <tableColumn id="5" name="SizTB" dataDxfId="68"/>
    <tableColumn id="6" name="PerfCmp54" dataDxfId="67">
      <calculatedColumnFormula>(Table5[[#This Row],[RPM]]/5400-1)</calculatedColumnFormula>
    </tableColumn>
    <tableColumn id="7" name="Warnty"/>
    <tableColumn id="18" name="MaxStartupWatts" dataDxfId="66"/>
    <tableColumn id="8" name="Watts Active" dataDxfId="65"/>
    <tableColumn id="9" name="Watts Idle" dataDxfId="64"/>
    <tableColumn id="10" name="WattsStandby" dataDxfId="63"/>
    <tableColumn id="11" name="Cost" dataDxfId="62"/>
    <tableColumn id="12" name="$ TB" dataDxfId="61">
      <calculatedColumnFormula>Table5[[#This Row],[Cost]]/Table5[[#This Row],[SizTB]]</calculatedColumnFormula>
    </tableColumn>
    <tableColumn id="13" name="$+Warr" dataDxfId="60">
      <calculatedColumnFormula>Table5[[#This Row],[Cost]]+((CompareWarrYrs-Table5[[#This Row],[Warnty]])*(Incremental_Warr_Yr*Table5[[#This Row],[Cost]]))</calculatedColumnFormula>
    </tableColumn>
    <tableColumn id="14" name="$PerTB" dataDxfId="59">
      <calculatedColumnFormula>Table5[[#This Row],[$+Warr]]/Table5[[#This Row],[SizTB]]</calculatedColumnFormula>
    </tableColumn>
    <tableColumn id="15" name="$ TB/year" dataDxfId="58">
      <calculatedColumnFormula>Table5[[#This Row],[$PerTB]]/CompareWarrYrs</calculatedColumnFormula>
    </tableColumn>
    <tableColumn id="16" name="Comp $/Perf/Size" dataDxfId="57"/>
    <tableColumn id="17" name="Energy$year" dataDxfId="56">
      <calculatedColumnFormula>((30/(1000/J3/24)*$E$114)+(30/(1000/K3/24)*(100%-$E$114)))*$E$113*12</calculatedColumnFormula>
    </tableColumn>
    <tableColumn id="20" name="Energy$yearPerTB" dataDxfId="55">
      <calculatedColumnFormula>Table5[[#This Row],[Energy$year]]/Table5[[#This Row],[SizTB]]</calculatedColumnFormula>
    </tableColumn>
    <tableColumn id="19" name="Notes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23"/>
  <sheetViews>
    <sheetView tabSelected="1" zoomScaleNormal="100" workbookViewId="0">
      <pane ySplit="2" topLeftCell="A3" activePane="bottomLeft" state="frozen"/>
      <selection pane="bottomLeft"/>
    </sheetView>
  </sheetViews>
  <sheetFormatPr defaultRowHeight="15" x14ac:dyDescent="0.25"/>
  <cols>
    <col min="1" max="1" width="9.85546875" bestFit="1" customWidth="1"/>
    <col min="2" max="2" width="8.28515625" customWidth="1"/>
    <col min="3" max="3" width="20.7109375" bestFit="1" customWidth="1"/>
    <col min="4" max="4" width="7.5703125" customWidth="1"/>
    <col min="5" max="5" width="7.28515625" customWidth="1"/>
    <col min="6" max="6" width="7.7109375" style="5" customWidth="1"/>
    <col min="7" max="7" width="12.85546875" customWidth="1"/>
    <col min="8" max="9" width="9.7109375" customWidth="1"/>
    <col min="10" max="12" width="11.28515625" customWidth="1"/>
    <col min="13" max="13" width="7.5703125" bestFit="1" customWidth="1"/>
    <col min="14" max="14" width="9" bestFit="1" customWidth="1"/>
    <col min="15" max="15" width="9.85546875" style="4" customWidth="1"/>
    <col min="16" max="16" width="9.42578125" style="4" customWidth="1"/>
    <col min="17" max="17" width="11.42578125" style="4" customWidth="1"/>
    <col min="18" max="18" width="18.7109375" customWidth="1"/>
    <col min="19" max="19" width="10.85546875" customWidth="1"/>
    <col min="20" max="20" width="11.7109375" customWidth="1"/>
    <col min="21" max="21" width="18.7109375" customWidth="1"/>
  </cols>
  <sheetData>
    <row r="1" spans="1:21" ht="16.5" thickTop="1" thickBot="1" x14ac:dyDescent="0.3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  <c r="M1" s="63" t="s">
        <v>44</v>
      </c>
      <c r="N1" s="65"/>
      <c r="O1" s="63" t="s">
        <v>48</v>
      </c>
      <c r="P1" s="64"/>
      <c r="Q1" s="65"/>
      <c r="R1" s="42" t="s">
        <v>38</v>
      </c>
      <c r="S1" s="66" t="s">
        <v>67</v>
      </c>
      <c r="T1" s="67"/>
    </row>
    <row r="2" spans="1:21" s="3" customFormat="1" ht="16.5" thickTop="1" thickBot="1" x14ac:dyDescent="0.3">
      <c r="A2" s="9" t="s">
        <v>0</v>
      </c>
      <c r="B2" s="9" t="s">
        <v>1</v>
      </c>
      <c r="C2" s="9" t="s">
        <v>4</v>
      </c>
      <c r="D2" s="10" t="s">
        <v>68</v>
      </c>
      <c r="E2" s="10" t="s">
        <v>7</v>
      </c>
      <c r="F2" s="11" t="s">
        <v>32</v>
      </c>
      <c r="G2" s="12" t="s">
        <v>31</v>
      </c>
      <c r="H2" s="9" t="s">
        <v>30</v>
      </c>
      <c r="I2" s="9" t="s">
        <v>47</v>
      </c>
      <c r="J2" s="9" t="s">
        <v>8</v>
      </c>
      <c r="K2" s="9" t="s">
        <v>9</v>
      </c>
      <c r="L2" s="10" t="s">
        <v>39</v>
      </c>
      <c r="M2" s="19" t="s">
        <v>2</v>
      </c>
      <c r="N2" s="20" t="s">
        <v>3</v>
      </c>
      <c r="O2" s="19" t="s">
        <v>43</v>
      </c>
      <c r="P2" s="21" t="s">
        <v>65</v>
      </c>
      <c r="Q2" s="20" t="s">
        <v>23</v>
      </c>
      <c r="R2" s="12" t="s">
        <v>42</v>
      </c>
      <c r="S2" s="43" t="s">
        <v>25</v>
      </c>
      <c r="T2" s="43" t="s">
        <v>64</v>
      </c>
      <c r="U2" s="26" t="s">
        <v>54</v>
      </c>
    </row>
    <row r="3" spans="1:21" ht="15.75" thickTop="1" x14ac:dyDescent="0.25">
      <c r="A3" s="1">
        <v>42860</v>
      </c>
      <c r="B3" t="s">
        <v>16</v>
      </c>
      <c r="C3" t="s">
        <v>17</v>
      </c>
      <c r="D3" s="50" t="s">
        <v>69</v>
      </c>
      <c r="E3">
        <v>7200</v>
      </c>
      <c r="F3" s="5">
        <v>3</v>
      </c>
      <c r="G3" s="2">
        <f>(Table5[[#This Row],[RPM]]/5400-1)</f>
        <v>0.33333333333333326</v>
      </c>
      <c r="H3">
        <v>3</v>
      </c>
      <c r="I3" s="24">
        <f>1.2*5+2*12</f>
        <v>30</v>
      </c>
      <c r="J3" s="6"/>
      <c r="K3" s="6">
        <v>6.9</v>
      </c>
      <c r="L3" s="6"/>
      <c r="M3" s="15">
        <v>104.99</v>
      </c>
      <c r="N3" s="13">
        <f>Table5[[#This Row],[Cost]]/Table5[[#This Row],[SizTB]]</f>
        <v>34.996666666666663</v>
      </c>
      <c r="O3" s="14">
        <f>Table5[[#This Row],[Cost]]+((CompareWarrYrs-Table5[[#This Row],[Warnty]])*(Incremental_Warr_Yr*Table5[[#This Row],[Cost]]))</f>
        <v>128.08779999999999</v>
      </c>
      <c r="P3" s="7">
        <f>Table5[[#This Row],[$+Warr]]/Table5[[#This Row],[SizTB]]</f>
        <v>42.695933333333329</v>
      </c>
      <c r="Q3" s="13">
        <f>Table5[[#This Row],[$PerTB]]/CompareWarrYrs</f>
        <v>8.5391866666666658</v>
      </c>
      <c r="R3" s="8"/>
      <c r="S3" s="52"/>
      <c r="T3" s="53"/>
    </row>
    <row r="4" spans="1:21" x14ac:dyDescent="0.25">
      <c r="A4" s="1">
        <v>42951</v>
      </c>
      <c r="B4" t="s">
        <v>16</v>
      </c>
      <c r="C4" t="s">
        <v>17</v>
      </c>
      <c r="D4" s="50" t="s">
        <v>69</v>
      </c>
      <c r="E4">
        <v>7200</v>
      </c>
      <c r="F4" s="5">
        <v>4</v>
      </c>
      <c r="G4" s="2">
        <f>(Table5[[#This Row],[RPM]]/5400-1)</f>
        <v>0.33333333333333326</v>
      </c>
      <c r="H4">
        <v>3</v>
      </c>
      <c r="I4" s="24">
        <f t="shared" ref="I4:I7" si="0">1.2*5+2*12</f>
        <v>30</v>
      </c>
      <c r="J4" s="6"/>
      <c r="K4" s="6">
        <v>6.9</v>
      </c>
      <c r="L4" s="6"/>
      <c r="M4" s="16">
        <v>114.99</v>
      </c>
      <c r="N4" s="13">
        <f>Table5[[#This Row],[Cost]]/Table5[[#This Row],[SizTB]]</f>
        <v>28.747499999999999</v>
      </c>
      <c r="O4" s="14">
        <f>Table5[[#This Row],[Cost]]+((CompareWarrYrs-Table5[[#This Row],[Warnty]])*(Incremental_Warr_Yr*Table5[[#This Row],[Cost]]))</f>
        <v>140.2878</v>
      </c>
      <c r="P4" s="7">
        <f>Table5[[#This Row],[$+Warr]]/Table5[[#This Row],[SizTB]]</f>
        <v>35.071950000000001</v>
      </c>
      <c r="Q4" s="13">
        <f>Table5[[#This Row],[$PerTB]]/CompareWarrYrs</f>
        <v>7.0143900000000006</v>
      </c>
      <c r="R4" s="8"/>
      <c r="S4" s="54"/>
      <c r="T4" s="55"/>
    </row>
    <row r="5" spans="1:21" x14ac:dyDescent="0.25">
      <c r="A5" s="1">
        <v>42860</v>
      </c>
      <c r="B5" t="s">
        <v>16</v>
      </c>
      <c r="C5" t="s">
        <v>17</v>
      </c>
      <c r="D5" s="50" t="s">
        <v>69</v>
      </c>
      <c r="E5">
        <v>7200</v>
      </c>
      <c r="F5" s="5">
        <v>5</v>
      </c>
      <c r="G5" s="2">
        <f>(Table5[[#This Row],[RPM]]/5400-1)</f>
        <v>0.33333333333333326</v>
      </c>
      <c r="H5">
        <v>3</v>
      </c>
      <c r="I5" s="24">
        <f t="shared" si="0"/>
        <v>30</v>
      </c>
      <c r="J5" s="6"/>
      <c r="K5" s="6">
        <v>6.9</v>
      </c>
      <c r="L5" s="6"/>
      <c r="M5" s="16">
        <v>249.61</v>
      </c>
      <c r="N5" s="13">
        <f>Table5[[#This Row],[Cost]]/Table5[[#This Row],[SizTB]]</f>
        <v>49.922000000000004</v>
      </c>
      <c r="O5" s="14">
        <f>Table5[[#This Row],[Cost]]+((CompareWarrYrs-Table5[[#This Row],[Warnty]])*(Incremental_Warr_Yr*Table5[[#This Row],[Cost]]))</f>
        <v>304.52420000000001</v>
      </c>
      <c r="P5" s="7">
        <f>Table5[[#This Row],[$+Warr]]/Table5[[#This Row],[SizTB]]</f>
        <v>60.90484</v>
      </c>
      <c r="Q5" s="13">
        <f>Table5[[#This Row],[$PerTB]]/CompareWarrYrs</f>
        <v>12.180968</v>
      </c>
      <c r="R5" s="8"/>
      <c r="S5" s="54"/>
      <c r="T5" s="55"/>
    </row>
    <row r="6" spans="1:21" x14ac:dyDescent="0.25">
      <c r="A6" s="1">
        <v>42957</v>
      </c>
      <c r="B6" t="s">
        <v>16</v>
      </c>
      <c r="C6" t="s">
        <v>17</v>
      </c>
      <c r="D6" s="50" t="s">
        <v>69</v>
      </c>
      <c r="E6">
        <v>7200</v>
      </c>
      <c r="F6" s="5">
        <v>6</v>
      </c>
      <c r="G6" s="2">
        <f>(Table5[[#This Row],[RPM]]/5400-1)</f>
        <v>0.33333333333333326</v>
      </c>
      <c r="H6">
        <v>3</v>
      </c>
      <c r="I6" s="24">
        <f t="shared" si="0"/>
        <v>30</v>
      </c>
      <c r="J6" s="6"/>
      <c r="K6" s="6">
        <v>7.3</v>
      </c>
      <c r="L6" s="6"/>
      <c r="M6" s="16">
        <v>179.99</v>
      </c>
      <c r="N6" s="13">
        <f>Table5[[#This Row],[Cost]]/Table5[[#This Row],[SizTB]]</f>
        <v>29.998333333333335</v>
      </c>
      <c r="O6" s="14">
        <f>Table5[[#This Row],[Cost]]+((CompareWarrYrs-Table5[[#This Row],[Warnty]])*(Incremental_Warr_Yr*Table5[[#This Row],[Cost]]))</f>
        <v>219.58780000000002</v>
      </c>
      <c r="P6" s="7">
        <f>Table5[[#This Row],[$+Warr]]/Table5[[#This Row],[SizTB]]</f>
        <v>36.597966666666672</v>
      </c>
      <c r="Q6" s="13">
        <f>Table5[[#This Row],[$PerTB]]/CompareWarrYrs</f>
        <v>7.3195933333333345</v>
      </c>
      <c r="R6" s="8"/>
      <c r="S6" s="56"/>
      <c r="T6" s="55"/>
    </row>
    <row r="7" spans="1:21" x14ac:dyDescent="0.25">
      <c r="A7" s="1">
        <v>42944</v>
      </c>
      <c r="B7" t="s">
        <v>16</v>
      </c>
      <c r="C7" t="s">
        <v>17</v>
      </c>
      <c r="D7" s="50" t="s">
        <v>69</v>
      </c>
      <c r="E7">
        <v>7200</v>
      </c>
      <c r="F7" s="5">
        <v>8</v>
      </c>
      <c r="G7" s="2">
        <f>(Table5[[#This Row],[RPM]]/5400-1)</f>
        <v>0.33333333333333326</v>
      </c>
      <c r="H7">
        <v>3</v>
      </c>
      <c r="I7" s="24">
        <f t="shared" si="0"/>
        <v>30</v>
      </c>
      <c r="J7" s="6"/>
      <c r="K7" s="6">
        <v>5.0999999999999996</v>
      </c>
      <c r="L7" s="6"/>
      <c r="M7" s="16">
        <v>279.99</v>
      </c>
      <c r="N7" s="13">
        <f>Table5[[#This Row],[Cost]]/Table5[[#This Row],[SizTB]]</f>
        <v>34.998750000000001</v>
      </c>
      <c r="O7" s="14">
        <f>Table5[[#This Row],[Cost]]+((CompareWarrYrs-Table5[[#This Row],[Warnty]])*(Incremental_Warr_Yr*Table5[[#This Row],[Cost]]))</f>
        <v>341.58780000000002</v>
      </c>
      <c r="P7" s="7">
        <f>Table5[[#This Row],[$+Warr]]/Table5[[#This Row],[SizTB]]</f>
        <v>42.698475000000002</v>
      </c>
      <c r="Q7" s="13">
        <f>Table5[[#This Row],[$PerTB]]/CompareWarrYrs</f>
        <v>8.539695</v>
      </c>
      <c r="R7" s="8"/>
      <c r="S7" s="56"/>
      <c r="T7" s="55"/>
    </row>
    <row r="8" spans="1:21" x14ac:dyDescent="0.25">
      <c r="A8" s="1">
        <v>42951</v>
      </c>
      <c r="B8" t="s">
        <v>16</v>
      </c>
      <c r="C8" t="s">
        <v>61</v>
      </c>
      <c r="D8" s="50"/>
      <c r="E8">
        <v>7200</v>
      </c>
      <c r="F8" s="5">
        <v>1</v>
      </c>
      <c r="G8" s="2">
        <f>(Table5[[#This Row],[RPM]]/5400-1)</f>
        <v>0.33333333333333326</v>
      </c>
      <c r="H8">
        <v>3</v>
      </c>
      <c r="I8" s="24"/>
      <c r="J8" s="6"/>
      <c r="K8" s="6"/>
      <c r="L8" s="6"/>
      <c r="M8" s="16">
        <v>53.99</v>
      </c>
      <c r="N8" s="13">
        <f>Table5[[#This Row],[Cost]]/Table5[[#This Row],[SizTB]]</f>
        <v>53.99</v>
      </c>
      <c r="O8" s="14">
        <f>Table5[[#This Row],[Cost]]+((CompareWarrYrs-Table5[[#This Row],[Warnty]])*(Incremental_Warr_Yr*Table5[[#This Row],[Cost]]))</f>
        <v>65.867800000000003</v>
      </c>
      <c r="P8" s="7">
        <f>Table5[[#This Row],[$+Warr]]/Table5[[#This Row],[SizTB]]</f>
        <v>65.867800000000003</v>
      </c>
      <c r="Q8" s="13">
        <f>Table5[[#This Row],[$PerTB]]/CompareWarrYrs</f>
        <v>13.17356</v>
      </c>
      <c r="R8" s="8"/>
      <c r="S8" s="54"/>
      <c r="T8" s="55"/>
    </row>
    <row r="9" spans="1:21" x14ac:dyDescent="0.25">
      <c r="A9" s="1">
        <v>42827</v>
      </c>
      <c r="B9" t="s">
        <v>16</v>
      </c>
      <c r="C9" t="s">
        <v>33</v>
      </c>
      <c r="D9" s="50" t="s">
        <v>69</v>
      </c>
      <c r="E9">
        <v>7200</v>
      </c>
      <c r="F9" s="5">
        <v>2</v>
      </c>
      <c r="G9" s="2">
        <f>(Table5[[#This Row],[RPM]]/5400-1)</f>
        <v>0.33333333333333326</v>
      </c>
      <c r="H9">
        <v>5</v>
      </c>
      <c r="I9" s="24"/>
      <c r="J9" s="6">
        <v>9.1</v>
      </c>
      <c r="K9" s="6">
        <v>7.1</v>
      </c>
      <c r="L9" s="6"/>
      <c r="M9" s="16">
        <v>149.34</v>
      </c>
      <c r="N9" s="13">
        <f>Table5[[#This Row],[Cost]]/Table5[[#This Row],[SizTB]]</f>
        <v>74.67</v>
      </c>
      <c r="O9" s="14">
        <f>Table5[[#This Row],[Cost]]+((CompareWarrYrs-Table5[[#This Row],[Warnty]])*(Incremental_Warr_Yr*Table5[[#This Row],[Cost]]))</f>
        <v>149.34</v>
      </c>
      <c r="P9" s="7">
        <f>Table5[[#This Row],[$+Warr]]/Table5[[#This Row],[SizTB]]</f>
        <v>74.67</v>
      </c>
      <c r="Q9" s="13">
        <f>Table5[[#This Row],[$PerTB]]/CompareWarrYrs</f>
        <v>14.934000000000001</v>
      </c>
      <c r="R9" s="8"/>
      <c r="S9" s="54">
        <f>(((Table5[[#This Row],[Watts Active]]*Power_On_Hours_Year/1000)*Active_Duty_Cycle)+((Table5[[#This Row],[Watts Idle]]*Power_On_Hours_Year/1000)*(100%-Active_Duty_Cycle)))*CostPerKWH</f>
        <v>8.2179000000000002</v>
      </c>
      <c r="T9" s="55">
        <f>Table5[[#This Row],[Energy$year]]/Table5[[#This Row],[SizTB]]</f>
        <v>4.1089500000000001</v>
      </c>
    </row>
    <row r="10" spans="1:21" x14ac:dyDescent="0.25">
      <c r="A10" s="1">
        <v>42827</v>
      </c>
      <c r="B10" t="s">
        <v>16</v>
      </c>
      <c r="C10" t="s">
        <v>33</v>
      </c>
      <c r="D10" s="50" t="s">
        <v>69</v>
      </c>
      <c r="E10">
        <v>7200</v>
      </c>
      <c r="F10" s="5">
        <v>4</v>
      </c>
      <c r="G10" s="2">
        <f>(Table5[[#This Row],[RPM]]/5400-1)</f>
        <v>0.33333333333333326</v>
      </c>
      <c r="H10">
        <v>5</v>
      </c>
      <c r="I10" s="24"/>
      <c r="J10" s="6">
        <v>9.1</v>
      </c>
      <c r="K10" s="6">
        <v>7.1</v>
      </c>
      <c r="L10" s="6"/>
      <c r="M10" s="16">
        <v>255.99</v>
      </c>
      <c r="N10" s="13">
        <f>Table5[[#This Row],[Cost]]/Table5[[#This Row],[SizTB]]</f>
        <v>63.997500000000002</v>
      </c>
      <c r="O10" s="14">
        <f>Table5[[#This Row],[Cost]]+((CompareWarrYrs-Table5[[#This Row],[Warnty]])*(Incremental_Warr_Yr*Table5[[#This Row],[Cost]]))</f>
        <v>255.99</v>
      </c>
      <c r="P10" s="7">
        <f>Table5[[#This Row],[$+Warr]]/Table5[[#This Row],[SizTB]]</f>
        <v>63.997500000000002</v>
      </c>
      <c r="Q10" s="13">
        <f>Table5[[#This Row],[$PerTB]]/CompareWarrYrs</f>
        <v>12.7995</v>
      </c>
      <c r="R10" s="8"/>
      <c r="S10" s="54">
        <f>(((Table5[[#This Row],[Watts Active]]*Power_On_Hours_Year/1000)*Active_Duty_Cycle)+((Table5[[#This Row],[Watts Idle]]*Power_On_Hours_Year/1000)*(100%-Active_Duty_Cycle)))*CostPerKWH</f>
        <v>8.2179000000000002</v>
      </c>
      <c r="T10" s="55">
        <f>Table5[[#This Row],[Energy$year]]/Table5[[#This Row],[SizTB]]</f>
        <v>2.0544750000000001</v>
      </c>
    </row>
    <row r="11" spans="1:21" x14ac:dyDescent="0.25">
      <c r="A11" s="1">
        <v>42827</v>
      </c>
      <c r="B11" t="s">
        <v>16</v>
      </c>
      <c r="C11" t="s">
        <v>33</v>
      </c>
      <c r="D11" s="50" t="s">
        <v>69</v>
      </c>
      <c r="E11">
        <v>7200</v>
      </c>
      <c r="F11" s="5">
        <v>5</v>
      </c>
      <c r="G11" s="2">
        <f>(Table5[[#This Row],[RPM]]/5400-1)</f>
        <v>0.33333333333333326</v>
      </c>
      <c r="H11">
        <v>5</v>
      </c>
      <c r="I11" s="24"/>
      <c r="J11" s="6">
        <v>9.1</v>
      </c>
      <c r="K11" s="6">
        <v>7.1</v>
      </c>
      <c r="L11" s="6"/>
      <c r="M11" s="16">
        <v>381.42</v>
      </c>
      <c r="N11" s="13">
        <f>Table5[[#This Row],[Cost]]/Table5[[#This Row],[SizTB]]</f>
        <v>76.284000000000006</v>
      </c>
      <c r="O11" s="14">
        <f>Table5[[#This Row],[Cost]]+((CompareWarrYrs-Table5[[#This Row],[Warnty]])*(Incremental_Warr_Yr*Table5[[#This Row],[Cost]]))</f>
        <v>381.42</v>
      </c>
      <c r="P11" s="7">
        <f>Table5[[#This Row],[$+Warr]]/Table5[[#This Row],[SizTB]]</f>
        <v>76.284000000000006</v>
      </c>
      <c r="Q11" s="13">
        <f>Table5[[#This Row],[$PerTB]]/CompareWarrYrs</f>
        <v>15.256800000000002</v>
      </c>
      <c r="R11" s="8"/>
      <c r="S11" s="54">
        <f>(((Table5[[#This Row],[Watts Active]]*Power_On_Hours_Year/1000)*Active_Duty_Cycle)+((Table5[[#This Row],[Watts Idle]]*Power_On_Hours_Year/1000)*(100%-Active_Duty_Cycle)))*CostPerKWH</f>
        <v>8.2179000000000002</v>
      </c>
      <c r="T11" s="55">
        <f>Table5[[#This Row],[Energy$year]]/Table5[[#This Row],[SizTB]]</f>
        <v>1.64358</v>
      </c>
    </row>
    <row r="12" spans="1:21" x14ac:dyDescent="0.25">
      <c r="A12" s="1">
        <v>42827</v>
      </c>
      <c r="B12" t="s">
        <v>16</v>
      </c>
      <c r="C12" t="s">
        <v>33</v>
      </c>
      <c r="D12" s="50" t="s">
        <v>69</v>
      </c>
      <c r="E12">
        <v>7200</v>
      </c>
      <c r="F12" s="5">
        <v>6</v>
      </c>
      <c r="G12" s="2">
        <f>(Table5[[#This Row],[RPM]]/5400-1)</f>
        <v>0.33333333333333326</v>
      </c>
      <c r="H12">
        <v>5</v>
      </c>
      <c r="I12" s="24"/>
      <c r="J12" s="6">
        <v>9.1</v>
      </c>
      <c r="K12" s="6">
        <v>7.1</v>
      </c>
      <c r="L12" s="6"/>
      <c r="M12" s="16">
        <v>301.52999999999997</v>
      </c>
      <c r="N12" s="13">
        <f>Table5[[#This Row],[Cost]]/Table5[[#This Row],[SizTB]]</f>
        <v>50.254999999999995</v>
      </c>
      <c r="O12" s="14">
        <f>Table5[[#This Row],[Cost]]+((CompareWarrYrs-Table5[[#This Row],[Warnty]])*(Incremental_Warr_Yr*Table5[[#This Row],[Cost]]))</f>
        <v>301.52999999999997</v>
      </c>
      <c r="P12" s="7">
        <f>Table5[[#This Row],[$+Warr]]/Table5[[#This Row],[SizTB]]</f>
        <v>50.254999999999995</v>
      </c>
      <c r="Q12" s="13">
        <f>Table5[[#This Row],[$PerTB]]/CompareWarrYrs</f>
        <v>10.050999999999998</v>
      </c>
      <c r="R12" s="8"/>
      <c r="S12" s="54">
        <f>(((Table5[[#This Row],[Watts Active]]*Power_On_Hours_Year/1000)*Active_Duty_Cycle)+((Table5[[#This Row],[Watts Idle]]*Power_On_Hours_Year/1000)*(100%-Active_Duty_Cycle)))*CostPerKWH</f>
        <v>8.2179000000000002</v>
      </c>
      <c r="T12" s="55">
        <f>Table5[[#This Row],[Energy$year]]/Table5[[#This Row],[SizTB]]</f>
        <v>1.36965</v>
      </c>
    </row>
    <row r="13" spans="1:21" x14ac:dyDescent="0.25">
      <c r="A13" s="1">
        <v>42846</v>
      </c>
      <c r="B13" t="s">
        <v>16</v>
      </c>
      <c r="C13" t="s">
        <v>34</v>
      </c>
      <c r="D13" s="50"/>
      <c r="E13">
        <v>7200</v>
      </c>
      <c r="F13" s="5">
        <v>8</v>
      </c>
      <c r="G13" s="2">
        <f>(Table5[[#This Row],[RPM]]/5400-1)</f>
        <v>0.33333333333333326</v>
      </c>
      <c r="H13">
        <v>5</v>
      </c>
      <c r="I13" s="24"/>
      <c r="J13" s="6">
        <v>7.6</v>
      </c>
      <c r="K13" s="6">
        <v>5.0999999999999996</v>
      </c>
      <c r="L13" s="6"/>
      <c r="M13" s="16">
        <v>373</v>
      </c>
      <c r="N13" s="13">
        <f>Table5[[#This Row],[Cost]]/Table5[[#This Row],[SizTB]]</f>
        <v>46.625</v>
      </c>
      <c r="O13" s="14">
        <f>Table5[[#This Row],[Cost]]+((CompareWarrYrs-Table5[[#This Row],[Warnty]])*(Incremental_Warr_Yr*Table5[[#This Row],[Cost]]))</f>
        <v>373</v>
      </c>
      <c r="P13" s="7">
        <f>Table5[[#This Row],[$+Warr]]/Table5[[#This Row],[SizTB]]</f>
        <v>46.625</v>
      </c>
      <c r="Q13" s="13">
        <f>Table5[[#This Row],[$PerTB]]/CompareWarrYrs</f>
        <v>9.3249999999999993</v>
      </c>
      <c r="R13" s="8"/>
      <c r="S13" s="54">
        <f>(((Table5[[#This Row],[Watts Active]]*Power_On_Hours_Year/1000)*Active_Duty_Cycle)+((Table5[[#This Row],[Watts Idle]]*Power_On_Hours_Year/1000)*(100%-Active_Duty_Cycle)))*CostPerKWH</f>
        <v>6.1360319999999993</v>
      </c>
      <c r="T13" s="55">
        <f>Table5[[#This Row],[Energy$year]]/Table5[[#This Row],[SizTB]]</f>
        <v>0.76700399999999991</v>
      </c>
      <c r="U13" t="s">
        <v>50</v>
      </c>
    </row>
    <row r="14" spans="1:21" x14ac:dyDescent="0.25">
      <c r="A14" s="1">
        <v>42827</v>
      </c>
      <c r="B14" t="s">
        <v>16</v>
      </c>
      <c r="C14" t="s">
        <v>52</v>
      </c>
      <c r="D14" s="50" t="s">
        <v>69</v>
      </c>
      <c r="E14">
        <v>10520</v>
      </c>
      <c r="F14" s="5">
        <v>1.8</v>
      </c>
      <c r="G14" s="2">
        <f>(Table5[[#This Row],[RPM]]/5400-1)</f>
        <v>0.94814814814814818</v>
      </c>
      <c r="H14">
        <v>5</v>
      </c>
      <c r="I14" s="24"/>
      <c r="J14" s="6">
        <v>7.4</v>
      </c>
      <c r="K14" s="6">
        <v>5.0999999999999996</v>
      </c>
      <c r="L14" s="6"/>
      <c r="M14" s="16">
        <v>584.89</v>
      </c>
      <c r="N14" s="13">
        <f>Table5[[#This Row],[Cost]]/Table5[[#This Row],[SizTB]]</f>
        <v>324.93888888888887</v>
      </c>
      <c r="O14" s="14">
        <f>Table5[[#This Row],[Cost]]+((CompareWarrYrs-Table5[[#This Row],[Warnty]])*(Incremental_Warr_Yr*Table5[[#This Row],[Cost]]))</f>
        <v>584.89</v>
      </c>
      <c r="P14" s="7">
        <f>Table5[[#This Row],[$+Warr]]/Table5[[#This Row],[SizTB]]</f>
        <v>324.93888888888887</v>
      </c>
      <c r="Q14" s="13">
        <f>Table5[[#This Row],[$PerTB]]/CompareWarrYrs</f>
        <v>64.987777777777779</v>
      </c>
      <c r="R14" s="8"/>
      <c r="S14" s="54">
        <f>(((Table5[[#This Row],[Watts Active]]*Power_On_Hours_Year/1000)*Active_Duty_Cycle)+((Table5[[#This Row],[Watts Idle]]*Power_On_Hours_Year/1000)*(100%-Active_Duty_Cycle)))*CostPerKWH</f>
        <v>6.0922031999999993</v>
      </c>
      <c r="T14" s="55">
        <f>Table5[[#This Row],[Energy$year]]/Table5[[#This Row],[SizTB]]</f>
        <v>3.384557333333333</v>
      </c>
    </row>
    <row r="15" spans="1:21" x14ac:dyDescent="0.25">
      <c r="A15" s="1">
        <v>42813</v>
      </c>
      <c r="B15" t="s">
        <v>11</v>
      </c>
      <c r="C15" t="s">
        <v>22</v>
      </c>
      <c r="D15" s="50"/>
      <c r="E15">
        <v>5900</v>
      </c>
      <c r="F15" s="5">
        <v>5</v>
      </c>
      <c r="G15" s="2">
        <f>(Table5[[#This Row],[RPM]]/5400-1)</f>
        <v>9.259259259259256E-2</v>
      </c>
      <c r="H15">
        <v>3</v>
      </c>
      <c r="I15" s="24">
        <v>24</v>
      </c>
      <c r="J15" s="6">
        <v>5.5</v>
      </c>
      <c r="K15" s="6">
        <v>3.5</v>
      </c>
      <c r="L15" s="6">
        <v>0.74</v>
      </c>
      <c r="M15" s="16">
        <v>192.01</v>
      </c>
      <c r="N15" s="13">
        <f>Table5[[#This Row],[Cost]]/Table5[[#This Row],[SizTB]]</f>
        <v>38.402000000000001</v>
      </c>
      <c r="O15" s="14">
        <f>Table5[[#This Row],[Cost]]+((CompareWarrYrs-Table5[[#This Row],[Warnty]])*(Incremental_Warr_Yr*Table5[[#This Row],[Cost]]))</f>
        <v>234.25219999999999</v>
      </c>
      <c r="P15" s="7">
        <f>Table5[[#This Row],[$+Warr]]/Table5[[#This Row],[SizTB]]</f>
        <v>46.850439999999999</v>
      </c>
      <c r="Q15" s="13">
        <f>Table5[[#This Row],[$PerTB]]/CompareWarrYrs</f>
        <v>9.3700879999999991</v>
      </c>
      <c r="R15" s="8"/>
      <c r="S15" s="54">
        <f>(((Table5[[#This Row],[Watts Active]]*Power_On_Hours_Year/1000)*Active_Duty_Cycle)+((Table5[[#This Row],[Watts Idle]]*Power_On_Hours_Year/1000)*(100%-Active_Duty_Cycle)))*CostPerKWH</f>
        <v>4.2733080000000001</v>
      </c>
      <c r="T15" s="55">
        <f>Table5[[#This Row],[Energy$year]]/Table5[[#This Row],[SizTB]]</f>
        <v>0.85466160000000002</v>
      </c>
    </row>
    <row r="16" spans="1:21" x14ac:dyDescent="0.25">
      <c r="A16" s="1">
        <v>42868</v>
      </c>
      <c r="B16" t="s">
        <v>11</v>
      </c>
      <c r="C16" t="s">
        <v>22</v>
      </c>
      <c r="D16" s="50"/>
      <c r="E16">
        <v>5900</v>
      </c>
      <c r="F16" s="5">
        <v>6</v>
      </c>
      <c r="G16" s="2">
        <f>(Table5[[#This Row],[RPM]]/5400-1)</f>
        <v>9.259259259259256E-2</v>
      </c>
      <c r="H16">
        <v>3</v>
      </c>
      <c r="I16" s="24">
        <v>24</v>
      </c>
      <c r="J16" s="6">
        <v>7.5</v>
      </c>
      <c r="K16" s="6">
        <v>5</v>
      </c>
      <c r="L16" s="6">
        <v>0.99</v>
      </c>
      <c r="M16" s="16">
        <v>203.47</v>
      </c>
      <c r="N16" s="13">
        <f>Table5[[#This Row],[Cost]]/Table5[[#This Row],[SizTB]]</f>
        <v>33.911666666666669</v>
      </c>
      <c r="O16" s="14">
        <f>Table5[[#This Row],[Cost]]+((CompareWarrYrs-Table5[[#This Row],[Warnty]])*(Incremental_Warr_Yr*Table5[[#This Row],[Cost]]))</f>
        <v>248.23339999999999</v>
      </c>
      <c r="P16" s="7">
        <f>Table5[[#This Row],[$+Warr]]/Table5[[#This Row],[SizTB]]</f>
        <v>41.372233333333334</v>
      </c>
      <c r="Q16" s="13">
        <f>Table5[[#This Row],[$PerTB]]/CompareWarrYrs</f>
        <v>8.2744466666666661</v>
      </c>
      <c r="R16" s="8"/>
      <c r="S16" s="54">
        <f>(((Table5[[#This Row],[Watts Active]]*Power_On_Hours_Year/1000)*Active_Duty_Cycle)+((Table5[[#This Row],[Watts Idle]]*Power_On_Hours_Year/1000)*(100%-Active_Duty_Cycle)))*CostPerKWH</f>
        <v>6.0264600000000002</v>
      </c>
      <c r="T16" s="57">
        <f>Table5[[#This Row],[Energy$year]]/Table5[[#This Row],[SizTB]]</f>
        <v>1.00441</v>
      </c>
    </row>
    <row r="17" spans="1:20" x14ac:dyDescent="0.25">
      <c r="A17" s="1">
        <v>42868</v>
      </c>
      <c r="B17" t="s">
        <v>11</v>
      </c>
      <c r="C17" t="s">
        <v>22</v>
      </c>
      <c r="D17" s="50"/>
      <c r="E17">
        <v>5900</v>
      </c>
      <c r="F17" s="5">
        <v>8</v>
      </c>
      <c r="G17" s="2">
        <f>(Table5[[#This Row],[RPM]]/5400-1)</f>
        <v>9.259259259259256E-2</v>
      </c>
      <c r="H17">
        <v>3</v>
      </c>
      <c r="I17" s="24">
        <v>24</v>
      </c>
      <c r="J17" s="6">
        <v>7.5</v>
      </c>
      <c r="K17" s="6">
        <v>5</v>
      </c>
      <c r="L17" s="6">
        <v>0.99</v>
      </c>
      <c r="M17" s="16">
        <f>229.88*0.9</f>
        <v>206.892</v>
      </c>
      <c r="N17" s="13">
        <f>Table5[[#This Row],[Cost]]/Table5[[#This Row],[SizTB]]</f>
        <v>25.861499999999999</v>
      </c>
      <c r="O17" s="14">
        <f>Table5[[#This Row],[Cost]]+((CompareWarrYrs-Table5[[#This Row],[Warnty]])*(Incremental_Warr_Yr*Table5[[#This Row],[Cost]]))</f>
        <v>252.40823999999998</v>
      </c>
      <c r="P17" s="7">
        <f>Table5[[#This Row],[$+Warr]]/Table5[[#This Row],[SizTB]]</f>
        <v>31.551029999999997</v>
      </c>
      <c r="Q17" s="13">
        <f>Table5[[#This Row],[$PerTB]]/CompareWarrYrs</f>
        <v>6.3102059999999991</v>
      </c>
      <c r="R17" s="8"/>
      <c r="S17" s="54">
        <f>(((Table5[[#This Row],[Watts Active]]*Power_On_Hours_Year/1000)*Active_Duty_Cycle)+((Table5[[#This Row],[Watts Idle]]*Power_On_Hours_Year/1000)*(100%-Active_Duty_Cycle)))*CostPerKWH</f>
        <v>6.0264600000000002</v>
      </c>
      <c r="T17" s="55">
        <f>Table5[[#This Row],[Energy$year]]/Table5[[#This Row],[SizTB]]</f>
        <v>0.75330750000000002</v>
      </c>
    </row>
    <row r="18" spans="1:20" x14ac:dyDescent="0.25">
      <c r="A18" s="1">
        <v>42949</v>
      </c>
      <c r="B18" t="s">
        <v>11</v>
      </c>
      <c r="C18" t="s">
        <v>12</v>
      </c>
      <c r="D18" s="50"/>
      <c r="E18">
        <v>5400</v>
      </c>
      <c r="F18" s="5">
        <v>1</v>
      </c>
      <c r="G18" s="2">
        <f>(Table5[[#This Row],[RPM]]/5400-1)</f>
        <v>0</v>
      </c>
      <c r="H18">
        <v>2</v>
      </c>
      <c r="I18" s="24">
        <v>24</v>
      </c>
      <c r="J18" s="6">
        <v>5.3</v>
      </c>
      <c r="K18" s="6">
        <v>4.5999999999999996</v>
      </c>
      <c r="L18" s="6">
        <v>0.94</v>
      </c>
      <c r="M18" s="16">
        <v>49.99</v>
      </c>
      <c r="N18" s="13">
        <f>Table5[[#This Row],[Cost]]/Table5[[#This Row],[SizTB]]</f>
        <v>49.99</v>
      </c>
      <c r="O18" s="14">
        <f>Table5[[#This Row],[Cost]]+((CompareWarrYrs-Table5[[#This Row],[Warnty]])*(Incremental_Warr_Yr*Table5[[#This Row],[Cost]]))</f>
        <v>66.486699999999999</v>
      </c>
      <c r="P18" s="7">
        <f>Table5[[#This Row],[$+Warr]]/Table5[[#This Row],[SizTB]]</f>
        <v>66.486699999999999</v>
      </c>
      <c r="Q18" s="13">
        <f>Table5[[#This Row],[$PerTB]]/CompareWarrYrs</f>
        <v>13.29734</v>
      </c>
      <c r="R18" s="8"/>
      <c r="S18" s="54">
        <f>(((Table5[[#This Row],[Watts Active]]*Power_On_Hours_Year/1000)*Active_Duty_Cycle)+((Table5[[#This Row],[Watts Idle]]*Power_On_Hours_Year/1000)*(100%-Active_Duty_Cycle)))*CostPerKWH</f>
        <v>5.1937128000000001</v>
      </c>
      <c r="T18" s="55">
        <f>Table5[[#This Row],[Energy$year]]/Table5[[#This Row],[SizTB]]</f>
        <v>5.1937128000000001</v>
      </c>
    </row>
    <row r="19" spans="1:20" x14ac:dyDescent="0.25">
      <c r="A19" s="1">
        <v>42949</v>
      </c>
      <c r="B19" t="s">
        <v>11</v>
      </c>
      <c r="C19" t="s">
        <v>12</v>
      </c>
      <c r="D19" s="50"/>
      <c r="E19">
        <v>5400</v>
      </c>
      <c r="F19" s="5">
        <v>2</v>
      </c>
      <c r="G19" s="2">
        <f>(Table5[[#This Row],[RPM]]/5400-1)</f>
        <v>0</v>
      </c>
      <c r="H19">
        <v>2</v>
      </c>
      <c r="I19" s="24">
        <v>24</v>
      </c>
      <c r="J19" s="6">
        <v>8</v>
      </c>
      <c r="K19" s="6">
        <v>5.4</v>
      </c>
      <c r="L19" s="6">
        <v>0.75</v>
      </c>
      <c r="M19" s="16">
        <v>66.989999999999995</v>
      </c>
      <c r="N19" s="13">
        <f>Table5[[#This Row],[Cost]]/Table5[[#This Row],[SizTB]]</f>
        <v>33.494999999999997</v>
      </c>
      <c r="O19" s="14">
        <f>Table5[[#This Row],[Cost]]+((CompareWarrYrs-Table5[[#This Row],[Warnty]])*(Incremental_Warr_Yr*Table5[[#This Row],[Cost]]))</f>
        <v>89.096699999999998</v>
      </c>
      <c r="P19" s="7">
        <f>Table5[[#This Row],[$+Warr]]/Table5[[#This Row],[SizTB]]</f>
        <v>44.548349999999999</v>
      </c>
      <c r="Q19" s="13">
        <f>Table5[[#This Row],[$PerTB]]/CompareWarrYrs</f>
        <v>8.9096700000000002</v>
      </c>
      <c r="R19" s="8"/>
      <c r="S19" s="54">
        <f>(((Table5[[#This Row],[Watts Active]]*Power_On_Hours_Year/1000)*Active_Duty_Cycle)+((Table5[[#This Row],[Watts Idle]]*Power_On_Hours_Year/1000)*(100%-Active_Duty_Cycle)))*CostPerKWH</f>
        <v>6.486662400000001</v>
      </c>
      <c r="T19" s="55">
        <f>Table5[[#This Row],[Energy$year]]/Table5[[#This Row],[SizTB]]</f>
        <v>3.2433312000000005</v>
      </c>
    </row>
    <row r="20" spans="1:20" x14ac:dyDescent="0.25">
      <c r="A20" s="1">
        <v>42949</v>
      </c>
      <c r="B20" t="s">
        <v>11</v>
      </c>
      <c r="C20" t="s">
        <v>12</v>
      </c>
      <c r="D20" s="50"/>
      <c r="E20">
        <v>5400</v>
      </c>
      <c r="F20" s="5">
        <v>3</v>
      </c>
      <c r="G20" s="2">
        <f>(Table5[[#This Row],[RPM]]/5400-1)</f>
        <v>0</v>
      </c>
      <c r="H20">
        <v>2</v>
      </c>
      <c r="I20" s="24">
        <v>24</v>
      </c>
      <c r="J20" s="6">
        <v>8</v>
      </c>
      <c r="K20" s="6">
        <v>5.4</v>
      </c>
      <c r="L20" s="6">
        <v>0.75</v>
      </c>
      <c r="M20" s="16">
        <v>89.99</v>
      </c>
      <c r="N20" s="13">
        <f>Table5[[#This Row],[Cost]]/Table5[[#This Row],[SizTB]]</f>
        <v>29.996666666666666</v>
      </c>
      <c r="O20" s="14">
        <f>Table5[[#This Row],[Cost]]+((CompareWarrYrs-Table5[[#This Row],[Warnty]])*(Incremental_Warr_Yr*Table5[[#This Row],[Cost]]))</f>
        <v>119.6867</v>
      </c>
      <c r="P20" s="7">
        <f>Table5[[#This Row],[$+Warr]]/Table5[[#This Row],[SizTB]]</f>
        <v>39.895566666666667</v>
      </c>
      <c r="Q20" s="13">
        <f>Table5[[#This Row],[$PerTB]]/CompareWarrYrs</f>
        <v>7.9791133333333333</v>
      </c>
      <c r="R20" s="8"/>
      <c r="S20" s="54">
        <f>(((Table5[[#This Row],[Watts Active]]*Power_On_Hours_Year/1000)*Active_Duty_Cycle)+((Table5[[#This Row],[Watts Idle]]*Power_On_Hours_Year/1000)*(100%-Active_Duty_Cycle)))*CostPerKWH</f>
        <v>6.486662400000001</v>
      </c>
      <c r="T20" s="55">
        <f>Table5[[#This Row],[Energy$year]]/Table5[[#This Row],[SizTB]]</f>
        <v>2.1622208000000005</v>
      </c>
    </row>
    <row r="21" spans="1:20" x14ac:dyDescent="0.25">
      <c r="A21" s="1">
        <v>42949</v>
      </c>
      <c r="B21" t="s">
        <v>11</v>
      </c>
      <c r="C21" t="s">
        <v>12</v>
      </c>
      <c r="D21" s="50"/>
      <c r="E21">
        <v>5400</v>
      </c>
      <c r="F21" s="5">
        <v>4</v>
      </c>
      <c r="G21" s="2">
        <f>(Table5[[#This Row],[RPM]]/5400-1)</f>
        <v>0</v>
      </c>
      <c r="H21">
        <v>2</v>
      </c>
      <c r="I21" s="24">
        <v>24</v>
      </c>
      <c r="J21" s="6">
        <v>5.6</v>
      </c>
      <c r="K21" s="6">
        <v>4</v>
      </c>
      <c r="L21" s="6">
        <v>0.5</v>
      </c>
      <c r="M21" s="16">
        <v>114</v>
      </c>
      <c r="N21" s="13">
        <f>Table5[[#This Row],[Cost]]/Table5[[#This Row],[SizTB]]</f>
        <v>28.5</v>
      </c>
      <c r="O21" s="14">
        <f>Table5[[#This Row],[Cost]]+((CompareWarrYrs-Table5[[#This Row],[Warnty]])*(Incremental_Warr_Yr*Table5[[#This Row],[Cost]]))</f>
        <v>151.62</v>
      </c>
      <c r="P21" s="7">
        <f>Table5[[#This Row],[$+Warr]]/Table5[[#This Row],[SizTB]]</f>
        <v>37.905000000000001</v>
      </c>
      <c r="Q21" s="13">
        <f>Table5[[#This Row],[$PerTB]]/CompareWarrYrs</f>
        <v>7.5810000000000004</v>
      </c>
      <c r="R21" s="8"/>
      <c r="S21" s="54">
        <f>(((Table5[[#This Row],[Watts Active]]*Power_On_Hours_Year/1000)*Active_Duty_Cycle)+((Table5[[#This Row],[Watts Idle]]*Power_On_Hours_Year/1000)*(100%-Active_Duty_Cycle)))*CostPerKWH</f>
        <v>4.7335104000000001</v>
      </c>
      <c r="T21" s="55">
        <f>Table5[[#This Row],[Energy$year]]/Table5[[#This Row],[SizTB]]</f>
        <v>1.1833776</v>
      </c>
    </row>
    <row r="22" spans="1:20" x14ac:dyDescent="0.25">
      <c r="A22" s="1">
        <v>42947</v>
      </c>
      <c r="B22" t="s">
        <v>11</v>
      </c>
      <c r="C22" t="s">
        <v>66</v>
      </c>
      <c r="D22" s="50"/>
      <c r="E22">
        <v>5400</v>
      </c>
      <c r="F22" s="5">
        <v>1</v>
      </c>
      <c r="G22" s="2">
        <f>(Table5[[#This Row],[RPM]]/5400-1)</f>
        <v>0</v>
      </c>
      <c r="H22">
        <v>2</v>
      </c>
      <c r="I22" s="24">
        <f>1*5</f>
        <v>5</v>
      </c>
      <c r="J22" s="6">
        <v>1.7</v>
      </c>
      <c r="K22" s="6">
        <v>0.45</v>
      </c>
      <c r="L22" s="6"/>
      <c r="M22" s="16">
        <v>48.99</v>
      </c>
      <c r="N22" s="13">
        <f>Table5[[#This Row],[Cost]]/Table5[[#This Row],[SizTB]]</f>
        <v>48.99</v>
      </c>
      <c r="O22" s="14">
        <f>Table5[[#This Row],[Cost]]+((CompareWarrYrs-Table5[[#This Row],[Warnty]])*(Incremental_Warr_Yr*Table5[[#This Row],[Cost]]))</f>
        <v>65.156700000000001</v>
      </c>
      <c r="P22" s="7">
        <f>Table5[[#This Row],[$+Warr]]/Table5[[#This Row],[SizTB]]</f>
        <v>65.156700000000001</v>
      </c>
      <c r="Q22" s="13">
        <f>Table5[[#This Row],[$PerTB]]/CompareWarrYrs</f>
        <v>13.03134</v>
      </c>
      <c r="R22" s="8"/>
      <c r="S22" s="54">
        <f>(((Table5[[#This Row],[Watts Active]]*Power_On_Hours_Year/1000)*Active_Duty_Cycle)+((Table5[[#This Row],[Watts Idle]]*Power_On_Hours_Year/1000)*(100%-Active_Duty_Cycle)))*CostPerKWH</f>
        <v>0.76700400000000002</v>
      </c>
      <c r="T22" s="55">
        <f>Table5[[#This Row],[Energy$year]]/Table5[[#This Row],[SizTB]]</f>
        <v>0.76700400000000002</v>
      </c>
    </row>
    <row r="23" spans="1:20" x14ac:dyDescent="0.25">
      <c r="A23" s="1">
        <v>42947</v>
      </c>
      <c r="B23" t="s">
        <v>11</v>
      </c>
      <c r="C23" t="s">
        <v>66</v>
      </c>
      <c r="D23" s="50"/>
      <c r="E23">
        <v>5400</v>
      </c>
      <c r="F23" s="5">
        <v>2</v>
      </c>
      <c r="G23" s="2">
        <f>(Table5[[#This Row],[RPM]]/5400-1)</f>
        <v>0</v>
      </c>
      <c r="H23">
        <v>2</v>
      </c>
      <c r="I23" s="24">
        <f>1*5</f>
        <v>5</v>
      </c>
      <c r="J23" s="6">
        <v>1.8</v>
      </c>
      <c r="K23" s="6">
        <v>0.5</v>
      </c>
      <c r="L23" s="6"/>
      <c r="M23" s="16">
        <v>88.99</v>
      </c>
      <c r="N23" s="13">
        <f>Table5[[#This Row],[Cost]]/Table5[[#This Row],[SizTB]]</f>
        <v>44.494999999999997</v>
      </c>
      <c r="O23" s="14">
        <f>Table5[[#This Row],[Cost]]+((CompareWarrYrs-Table5[[#This Row],[Warnty]])*(Incremental_Warr_Yr*Table5[[#This Row],[Cost]]))</f>
        <v>118.35669999999999</v>
      </c>
      <c r="P23" s="7">
        <f>Table5[[#This Row],[$+Warr]]/Table5[[#This Row],[SizTB]]</f>
        <v>59.178349999999995</v>
      </c>
      <c r="Q23" s="13">
        <f>Table5[[#This Row],[$PerTB]]/CompareWarrYrs</f>
        <v>11.835669999999999</v>
      </c>
      <c r="R23" s="8"/>
      <c r="S23" s="54">
        <f>(((Table5[[#This Row],[Watts Active]]*Power_On_Hours_Year/1000)*Active_Duty_Cycle)+((Table5[[#This Row],[Watts Idle]]*Power_On_Hours_Year/1000)*(100%-Active_Duty_Cycle)))*CostPerKWH</f>
        <v>0.83274720000000002</v>
      </c>
      <c r="T23" s="55">
        <f>Table5[[#This Row],[Energy$year]]/Table5[[#This Row],[SizTB]]</f>
        <v>0.41637360000000001</v>
      </c>
    </row>
    <row r="24" spans="1:20" x14ac:dyDescent="0.25">
      <c r="A24" s="1">
        <v>42947</v>
      </c>
      <c r="B24" t="s">
        <v>11</v>
      </c>
      <c r="C24" t="s">
        <v>66</v>
      </c>
      <c r="D24" s="50"/>
      <c r="E24">
        <v>5400</v>
      </c>
      <c r="F24" s="5">
        <v>3</v>
      </c>
      <c r="G24" s="2">
        <f>(Table5[[#This Row],[RPM]]/5400-1)</f>
        <v>0</v>
      </c>
      <c r="H24">
        <v>2</v>
      </c>
      <c r="I24" s="24">
        <f>1.2*5</f>
        <v>6</v>
      </c>
      <c r="J24" s="6">
        <v>2.1</v>
      </c>
      <c r="K24" s="6">
        <v>1.1000000000000001</v>
      </c>
      <c r="L24" s="6"/>
      <c r="M24" s="16">
        <v>139.99</v>
      </c>
      <c r="N24" s="13">
        <f>Table5[[#This Row],[Cost]]/Table5[[#This Row],[SizTB]]</f>
        <v>46.663333333333334</v>
      </c>
      <c r="O24" s="14">
        <f>Table5[[#This Row],[Cost]]+((CompareWarrYrs-Table5[[#This Row],[Warnty]])*(Incremental_Warr_Yr*Table5[[#This Row],[Cost]]))</f>
        <v>186.18670000000003</v>
      </c>
      <c r="P24" s="7">
        <f>Table5[[#This Row],[$+Warr]]/Table5[[#This Row],[SizTB]]</f>
        <v>62.062233333333346</v>
      </c>
      <c r="Q24" s="13">
        <f>Table5[[#This Row],[$PerTB]]/CompareWarrYrs</f>
        <v>12.41244666666667</v>
      </c>
      <c r="R24" s="8"/>
      <c r="S24" s="54">
        <f>(((Table5[[#This Row],[Watts Active]]*Power_On_Hours_Year/1000)*Active_Duty_Cycle)+((Table5[[#This Row],[Watts Idle]]*Power_On_Hours_Year/1000)*(100%-Active_Duty_Cycle)))*CostPerKWH</f>
        <v>1.4244360000000003</v>
      </c>
      <c r="T24" s="55">
        <f>Table5[[#This Row],[Energy$year]]/Table5[[#This Row],[SizTB]]</f>
        <v>0.47481200000000007</v>
      </c>
    </row>
    <row r="25" spans="1:20" x14ac:dyDescent="0.25">
      <c r="A25" s="1">
        <v>42947</v>
      </c>
      <c r="B25" t="s">
        <v>11</v>
      </c>
      <c r="C25" t="s">
        <v>66</v>
      </c>
      <c r="D25" s="50"/>
      <c r="E25">
        <v>5400</v>
      </c>
      <c r="F25" s="5">
        <v>4</v>
      </c>
      <c r="G25" s="2">
        <f>(Table5[[#This Row],[RPM]]/5400-1)</f>
        <v>0</v>
      </c>
      <c r="H25">
        <v>2</v>
      </c>
      <c r="I25" s="24">
        <f>1.2*5</f>
        <v>6</v>
      </c>
      <c r="J25" s="6">
        <v>2.1</v>
      </c>
      <c r="K25" s="6">
        <v>1.1000000000000001</v>
      </c>
      <c r="L25" s="6"/>
      <c r="M25" s="16">
        <v>179.99</v>
      </c>
      <c r="N25" s="13">
        <f>Table5[[#This Row],[Cost]]/Table5[[#This Row],[SizTB]]</f>
        <v>44.997500000000002</v>
      </c>
      <c r="O25" s="14">
        <f>Table5[[#This Row],[Cost]]+((CompareWarrYrs-Table5[[#This Row],[Warnty]])*(Incremental_Warr_Yr*Table5[[#This Row],[Cost]]))</f>
        <v>239.38670000000002</v>
      </c>
      <c r="P25" s="7">
        <f>Table5[[#This Row],[$+Warr]]/Table5[[#This Row],[SizTB]]</f>
        <v>59.846675000000005</v>
      </c>
      <c r="Q25" s="13">
        <f>Table5[[#This Row],[$PerTB]]/CompareWarrYrs</f>
        <v>11.969335000000001</v>
      </c>
      <c r="R25" s="8"/>
      <c r="S25" s="54">
        <f>(((Table5[[#This Row],[Watts Active]]*Power_On_Hours_Year/1000)*Active_Duty_Cycle)+((Table5[[#This Row],[Watts Idle]]*Power_On_Hours_Year/1000)*(100%-Active_Duty_Cycle)))*CostPerKWH</f>
        <v>1.4244360000000003</v>
      </c>
      <c r="T25" s="55">
        <f>Table5[[#This Row],[Energy$year]]/Table5[[#This Row],[SizTB]]</f>
        <v>0.35610900000000006</v>
      </c>
    </row>
    <row r="26" spans="1:20" x14ac:dyDescent="0.25">
      <c r="A26" s="1">
        <v>42947</v>
      </c>
      <c r="B26" t="s">
        <v>11</v>
      </c>
      <c r="C26" t="s">
        <v>66</v>
      </c>
      <c r="D26" s="50"/>
      <c r="E26">
        <v>5400</v>
      </c>
      <c r="F26" s="5">
        <v>5</v>
      </c>
      <c r="G26" s="2">
        <f>(Table5[[#This Row],[RPM]]/5400-1)</f>
        <v>0</v>
      </c>
      <c r="H26">
        <v>2</v>
      </c>
      <c r="I26" s="24">
        <f>1.2*5</f>
        <v>6</v>
      </c>
      <c r="J26" s="6">
        <v>2.1</v>
      </c>
      <c r="K26" s="6">
        <v>1.1000000000000001</v>
      </c>
      <c r="L26" s="6"/>
      <c r="M26" s="16">
        <v>219.99</v>
      </c>
      <c r="N26" s="13">
        <f>Table5[[#This Row],[Cost]]/Table5[[#This Row],[SizTB]]</f>
        <v>43.998000000000005</v>
      </c>
      <c r="O26" s="14">
        <f>Table5[[#This Row],[Cost]]+((CompareWarrYrs-Table5[[#This Row],[Warnty]])*(Incremental_Warr_Yr*Table5[[#This Row],[Cost]]))</f>
        <v>292.58670000000001</v>
      </c>
      <c r="P26" s="7">
        <f>Table5[[#This Row],[$+Warr]]/Table5[[#This Row],[SizTB]]</f>
        <v>58.517340000000004</v>
      </c>
      <c r="Q26" s="13">
        <f>Table5[[#This Row],[$PerTB]]/CompareWarrYrs</f>
        <v>11.703468000000001</v>
      </c>
      <c r="R26" s="8"/>
      <c r="S26" s="54">
        <f>(((Table5[[#This Row],[Watts Active]]*Power_On_Hours_Year/1000)*Active_Duty_Cycle)+((Table5[[#This Row],[Watts Idle]]*Power_On_Hours_Year/1000)*(100%-Active_Duty_Cycle)))*CostPerKWH</f>
        <v>1.4244360000000003</v>
      </c>
      <c r="T26" s="55">
        <f>Table5[[#This Row],[Energy$year]]/Table5[[#This Row],[SizTB]]</f>
        <v>0.28488720000000006</v>
      </c>
    </row>
    <row r="27" spans="1:20" x14ac:dyDescent="0.25">
      <c r="A27" s="1">
        <v>42888</v>
      </c>
      <c r="B27" t="s">
        <v>11</v>
      </c>
      <c r="C27" t="s">
        <v>19</v>
      </c>
      <c r="D27" s="50"/>
      <c r="E27">
        <v>7200</v>
      </c>
      <c r="F27" s="5">
        <v>2</v>
      </c>
      <c r="G27" s="2">
        <f>(Table5[[#This Row],[RPM]]/5400-1)</f>
        <v>0.33333333333333326</v>
      </c>
      <c r="H27">
        <v>5</v>
      </c>
      <c r="I27" s="24">
        <f t="shared" ref="I27:I32" si="1">12*1.94</f>
        <v>23.28</v>
      </c>
      <c r="J27" s="6">
        <v>8.3699999999999992</v>
      </c>
      <c r="K27" s="6">
        <v>4.42</v>
      </c>
      <c r="L27" s="6">
        <v>0.8</v>
      </c>
      <c r="M27" s="16">
        <v>79.989999999999995</v>
      </c>
      <c r="N27" s="13">
        <f>Table5[[#This Row],[Cost]]/Table5[[#This Row],[SizTB]]</f>
        <v>39.994999999999997</v>
      </c>
      <c r="O27" s="14">
        <f>Table5[[#This Row],[Cost]]+((CompareWarrYrs-Table5[[#This Row],[Warnty]])*(Incremental_Warr_Yr*Table5[[#This Row],[Cost]]))</f>
        <v>79.989999999999995</v>
      </c>
      <c r="P27" s="7">
        <f>Table5[[#This Row],[$+Warr]]/Table5[[#This Row],[SizTB]]</f>
        <v>39.994999999999997</v>
      </c>
      <c r="Q27" s="13">
        <f>Table5[[#This Row],[$PerTB]]/CompareWarrYrs</f>
        <v>7.9989999999999997</v>
      </c>
      <c r="R27" s="8"/>
      <c r="S27" s="54">
        <f>(((Table5[[#This Row],[Watts Active]]*Power_On_Hours_Year/1000)*Active_Duty_Cycle)+((Table5[[#This Row],[Watts Idle]]*Power_On_Hours_Year/1000)*(100%-Active_Duty_Cycle)))*CostPerKWH</f>
        <v>5.7087012000000001</v>
      </c>
      <c r="T27" s="55">
        <f>Table5[[#This Row],[Energy$year]]/Table5[[#This Row],[SizTB]]</f>
        <v>2.8543506000000001</v>
      </c>
    </row>
    <row r="28" spans="1:20" x14ac:dyDescent="0.25">
      <c r="A28" s="1">
        <v>42861</v>
      </c>
      <c r="B28" t="s">
        <v>11</v>
      </c>
      <c r="C28" t="s">
        <v>19</v>
      </c>
      <c r="D28" s="50"/>
      <c r="E28">
        <v>7200</v>
      </c>
      <c r="F28" s="5">
        <v>4</v>
      </c>
      <c r="G28" s="2">
        <f>(Table5[[#This Row],[RPM]]/5400-1)</f>
        <v>0.33333333333333326</v>
      </c>
      <c r="H28">
        <v>5</v>
      </c>
      <c r="I28" s="24">
        <f t="shared" si="1"/>
        <v>23.28</v>
      </c>
      <c r="J28" s="6">
        <v>8.3699999999999992</v>
      </c>
      <c r="K28" s="6">
        <v>4.42</v>
      </c>
      <c r="L28" s="6">
        <v>0.8</v>
      </c>
      <c r="M28" s="16">
        <v>184.99</v>
      </c>
      <c r="N28" s="13">
        <f>Table5[[#This Row],[Cost]]/Table5[[#This Row],[SizTB]]</f>
        <v>46.247500000000002</v>
      </c>
      <c r="O28" s="14">
        <f>Table5[[#This Row],[Cost]]+((CompareWarrYrs-Table5[[#This Row],[Warnty]])*(Incremental_Warr_Yr*Table5[[#This Row],[Cost]]))</f>
        <v>184.99</v>
      </c>
      <c r="P28" s="7">
        <f>Table5[[#This Row],[$+Warr]]/Table5[[#This Row],[SizTB]]</f>
        <v>46.247500000000002</v>
      </c>
      <c r="Q28" s="13">
        <f>Table5[[#This Row],[$PerTB]]/CompareWarrYrs</f>
        <v>9.2495000000000012</v>
      </c>
      <c r="R28" s="8"/>
      <c r="S28" s="54">
        <f>(((Table5[[#This Row],[Watts Active]]*Power_On_Hours_Year/1000)*Active_Duty_Cycle)+((Table5[[#This Row],[Watts Idle]]*Power_On_Hours_Year/1000)*(100%-Active_Duty_Cycle)))*CostPerKWH</f>
        <v>5.7087012000000001</v>
      </c>
      <c r="T28" s="55">
        <f>Table5[[#This Row],[Energy$year]]/Table5[[#This Row],[SizTB]]</f>
        <v>1.4271753</v>
      </c>
    </row>
    <row r="29" spans="1:20" x14ac:dyDescent="0.25">
      <c r="A29" s="1">
        <v>42861</v>
      </c>
      <c r="B29" t="s">
        <v>11</v>
      </c>
      <c r="C29" t="s">
        <v>19</v>
      </c>
      <c r="D29" s="50"/>
      <c r="E29">
        <v>7200</v>
      </c>
      <c r="F29" s="5">
        <v>5</v>
      </c>
      <c r="G29" s="2">
        <f>(Table5[[#This Row],[RPM]]/5400-1)</f>
        <v>0.33333333333333326</v>
      </c>
      <c r="H29">
        <v>5</v>
      </c>
      <c r="I29" s="24">
        <f t="shared" si="1"/>
        <v>23.28</v>
      </c>
      <c r="J29" s="6">
        <v>8.3699999999999992</v>
      </c>
      <c r="K29" s="6">
        <v>4.42</v>
      </c>
      <c r="L29" s="6">
        <v>0.8</v>
      </c>
      <c r="M29" s="16">
        <v>214.99</v>
      </c>
      <c r="N29" s="13">
        <f>Table5[[#This Row],[Cost]]/Table5[[#This Row],[SizTB]]</f>
        <v>42.998000000000005</v>
      </c>
      <c r="O29" s="14">
        <f>Table5[[#This Row],[Cost]]+((CompareWarrYrs-Table5[[#This Row],[Warnty]])*(Incremental_Warr_Yr*Table5[[#This Row],[Cost]]))</f>
        <v>214.99</v>
      </c>
      <c r="P29" s="7">
        <f>Table5[[#This Row],[$+Warr]]/Table5[[#This Row],[SizTB]]</f>
        <v>42.998000000000005</v>
      </c>
      <c r="Q29" s="13">
        <f>Table5[[#This Row],[$PerTB]]/CompareWarrYrs</f>
        <v>8.5996000000000006</v>
      </c>
      <c r="R29" s="8"/>
      <c r="S29" s="54">
        <f>(((Table5[[#This Row],[Watts Active]]*Power_On_Hours_Year/1000)*Active_Duty_Cycle)+((Table5[[#This Row],[Watts Idle]]*Power_On_Hours_Year/1000)*(100%-Active_Duty_Cycle)))*CostPerKWH</f>
        <v>5.7087012000000001</v>
      </c>
      <c r="T29" s="55">
        <f>Table5[[#This Row],[Energy$year]]/Table5[[#This Row],[SizTB]]</f>
        <v>1.1417402400000001</v>
      </c>
    </row>
    <row r="30" spans="1:20" x14ac:dyDescent="0.25">
      <c r="A30" s="1">
        <v>42861</v>
      </c>
      <c r="B30" t="s">
        <v>11</v>
      </c>
      <c r="C30" t="s">
        <v>19</v>
      </c>
      <c r="D30" s="50"/>
      <c r="E30">
        <v>7200</v>
      </c>
      <c r="F30" s="5">
        <v>6</v>
      </c>
      <c r="G30" s="2">
        <f>(Table5[[#This Row],[RPM]]/5400-1)</f>
        <v>0.33333333333333326</v>
      </c>
      <c r="H30">
        <v>5</v>
      </c>
      <c r="I30" s="24">
        <f t="shared" si="1"/>
        <v>23.28</v>
      </c>
      <c r="J30" s="6">
        <v>8.3699999999999992</v>
      </c>
      <c r="K30" s="6">
        <v>4.42</v>
      </c>
      <c r="L30" s="6">
        <v>0.8</v>
      </c>
      <c r="M30" s="16">
        <v>258.99</v>
      </c>
      <c r="N30" s="13">
        <f>Table5[[#This Row],[Cost]]/Table5[[#This Row],[SizTB]]</f>
        <v>43.164999999999999</v>
      </c>
      <c r="O30" s="14">
        <f>Table5[[#This Row],[Cost]]+((CompareWarrYrs-Table5[[#This Row],[Warnty]])*(Incremental_Warr_Yr*Table5[[#This Row],[Cost]]))</f>
        <v>258.99</v>
      </c>
      <c r="P30" s="7">
        <f>Table5[[#This Row],[$+Warr]]/Table5[[#This Row],[SizTB]]</f>
        <v>43.164999999999999</v>
      </c>
      <c r="Q30" s="13">
        <f>Table5[[#This Row],[$PerTB]]/CompareWarrYrs</f>
        <v>8.6329999999999991</v>
      </c>
      <c r="R30" s="8"/>
      <c r="S30" s="54">
        <f>(((Table5[[#This Row],[Watts Active]]*Power_On_Hours_Year/1000)*Active_Duty_Cycle)+((Table5[[#This Row],[Watts Idle]]*Power_On_Hours_Year/1000)*(100%-Active_Duty_Cycle)))*CostPerKWH</f>
        <v>5.7087012000000001</v>
      </c>
      <c r="T30" s="55">
        <f>Table5[[#This Row],[Energy$year]]/Table5[[#This Row],[SizTB]]</f>
        <v>0.95145020000000002</v>
      </c>
    </row>
    <row r="31" spans="1:20" x14ac:dyDescent="0.25">
      <c r="A31" s="1">
        <v>42861</v>
      </c>
      <c r="B31" t="s">
        <v>11</v>
      </c>
      <c r="C31" t="s">
        <v>19</v>
      </c>
      <c r="D31" s="50"/>
      <c r="E31">
        <v>7200</v>
      </c>
      <c r="F31" s="5">
        <v>8</v>
      </c>
      <c r="G31" s="2">
        <f>(Table5[[#This Row],[RPM]]/5400-1)</f>
        <v>0.33333333333333326</v>
      </c>
      <c r="H31">
        <v>5</v>
      </c>
      <c r="I31" s="24">
        <f t="shared" si="1"/>
        <v>23.28</v>
      </c>
      <c r="J31" s="6">
        <v>8.3699999999999992</v>
      </c>
      <c r="K31" s="6">
        <v>4.42</v>
      </c>
      <c r="L31" s="6">
        <v>0.8</v>
      </c>
      <c r="M31" s="16">
        <v>334.99</v>
      </c>
      <c r="N31" s="13">
        <f>Table5[[#This Row],[Cost]]/Table5[[#This Row],[SizTB]]</f>
        <v>41.873750000000001</v>
      </c>
      <c r="O31" s="14">
        <f>Table5[[#This Row],[Cost]]+((CompareWarrYrs-Table5[[#This Row],[Warnty]])*(Incremental_Warr_Yr*Table5[[#This Row],[Cost]]))</f>
        <v>334.99</v>
      </c>
      <c r="P31" s="7">
        <f>Table5[[#This Row],[$+Warr]]/Table5[[#This Row],[SizTB]]</f>
        <v>41.873750000000001</v>
      </c>
      <c r="Q31" s="13">
        <f>Table5[[#This Row],[$PerTB]]/CompareWarrYrs</f>
        <v>8.3747500000000006</v>
      </c>
      <c r="R31" s="8"/>
      <c r="S31" s="54">
        <f>(((Table5[[#This Row],[Watts Active]]*Power_On_Hours_Year/1000)*Active_Duty_Cycle)+((Table5[[#This Row],[Watts Idle]]*Power_On_Hours_Year/1000)*(100%-Active_Duty_Cycle)))*CostPerKWH</f>
        <v>5.7087012000000001</v>
      </c>
      <c r="T31" s="55">
        <f>Table5[[#This Row],[Energy$year]]/Table5[[#This Row],[SizTB]]</f>
        <v>0.71358765000000002</v>
      </c>
    </row>
    <row r="32" spans="1:20" x14ac:dyDescent="0.25">
      <c r="A32" s="1">
        <v>42861</v>
      </c>
      <c r="B32" t="s">
        <v>11</v>
      </c>
      <c r="C32" t="s">
        <v>19</v>
      </c>
      <c r="D32" s="50"/>
      <c r="E32">
        <v>7200</v>
      </c>
      <c r="F32" s="5">
        <v>10</v>
      </c>
      <c r="G32" s="2">
        <f>(Table5[[#This Row],[RPM]]/5400-1)</f>
        <v>0.33333333333333326</v>
      </c>
      <c r="H32">
        <v>5</v>
      </c>
      <c r="I32" s="24">
        <f t="shared" si="1"/>
        <v>23.28</v>
      </c>
      <c r="J32" s="6">
        <v>8.3699999999999992</v>
      </c>
      <c r="K32" s="6">
        <v>4.42</v>
      </c>
      <c r="L32" s="6">
        <v>0.8</v>
      </c>
      <c r="M32" s="16">
        <v>434.99</v>
      </c>
      <c r="N32" s="13">
        <f>Table5[[#This Row],[Cost]]/Table5[[#This Row],[SizTB]]</f>
        <v>43.499000000000002</v>
      </c>
      <c r="O32" s="14">
        <f>Table5[[#This Row],[Cost]]+((CompareWarrYrs-Table5[[#This Row],[Warnty]])*(Incremental_Warr_Yr*Table5[[#This Row],[Cost]]))</f>
        <v>434.99</v>
      </c>
      <c r="P32" s="7">
        <f>Table5[[#This Row],[$+Warr]]/Table5[[#This Row],[SizTB]]</f>
        <v>43.499000000000002</v>
      </c>
      <c r="Q32" s="13">
        <f>Table5[[#This Row],[$PerTB]]/CompareWarrYrs</f>
        <v>8.6997999999999998</v>
      </c>
      <c r="R32" s="8"/>
      <c r="S32" s="54">
        <f>(((Table5[[#This Row],[Watts Active]]*Power_On_Hours_Year/1000)*Active_Duty_Cycle)+((Table5[[#This Row],[Watts Idle]]*Power_On_Hours_Year/1000)*(100%-Active_Duty_Cycle)))*CostPerKWH</f>
        <v>5.7087012000000001</v>
      </c>
      <c r="T32" s="55">
        <f>Table5[[#This Row],[Energy$year]]/Table5[[#This Row],[SizTB]]</f>
        <v>0.57087012000000004</v>
      </c>
    </row>
    <row r="33" spans="1:21" x14ac:dyDescent="0.25">
      <c r="A33" s="1">
        <v>42895</v>
      </c>
      <c r="B33" t="s">
        <v>11</v>
      </c>
      <c r="C33" t="s">
        <v>63</v>
      </c>
      <c r="D33" s="50" t="s">
        <v>69</v>
      </c>
      <c r="E33">
        <v>7200</v>
      </c>
      <c r="F33" s="5">
        <v>1</v>
      </c>
      <c r="G33" s="2">
        <f>(Table5[[#This Row],[RPM]]/5400-1)</f>
        <v>0.33333333333333326</v>
      </c>
      <c r="H33">
        <v>5</v>
      </c>
      <c r="I33" s="24">
        <f>2.6*12</f>
        <v>31.200000000000003</v>
      </c>
      <c r="J33" s="6">
        <v>8.08</v>
      </c>
      <c r="K33" s="6">
        <v>4.45</v>
      </c>
      <c r="L33" s="6">
        <f>0.15*5+0.01*12</f>
        <v>0.87</v>
      </c>
      <c r="M33" s="16">
        <v>95</v>
      </c>
      <c r="N33" s="13">
        <f>Table5[[#This Row],[Cost]]/Table5[[#This Row],[SizTB]]</f>
        <v>95</v>
      </c>
      <c r="O33" s="14">
        <f>Table5[[#This Row],[Cost]]+((CompareWarrYrs-Table5[[#This Row],[Warnty]])*(Incremental_Warr_Yr*Table5[[#This Row],[Cost]]))</f>
        <v>95</v>
      </c>
      <c r="P33" s="7">
        <f>Table5[[#This Row],[$+Warr]]/Table5[[#This Row],[SizTB]]</f>
        <v>95</v>
      </c>
      <c r="Q33" s="13">
        <f>Table5[[#This Row],[$PerTB]]/CompareWarrYrs</f>
        <v>19</v>
      </c>
      <c r="R33" s="25"/>
      <c r="S33" s="54">
        <f>(((Table5[[#This Row],[Watts Active]]*Power_On_Hours_Year/1000)*Active_Duty_Cycle)+((Table5[[#This Row],[Watts Idle]]*Power_On_Hours_Year/1000)*(100%-Active_Duty_Cycle)))*CostPerKWH</f>
        <v>5.6714467200000014</v>
      </c>
      <c r="T33" s="55">
        <f>Table5[[#This Row],[Energy$year]]/Table5[[#This Row],[SizTB]]</f>
        <v>5.6714467200000014</v>
      </c>
    </row>
    <row r="34" spans="1:21" x14ac:dyDescent="0.25">
      <c r="A34" s="1">
        <v>42895</v>
      </c>
      <c r="B34" t="s">
        <v>11</v>
      </c>
      <c r="C34" t="s">
        <v>63</v>
      </c>
      <c r="D34" s="50" t="s">
        <v>69</v>
      </c>
      <c r="E34">
        <v>7200</v>
      </c>
      <c r="F34" s="5">
        <v>2</v>
      </c>
      <c r="G34" s="2">
        <f>(Table5[[#This Row],[RPM]]/5400-1)</f>
        <v>0.33333333333333326</v>
      </c>
      <c r="H34">
        <v>5</v>
      </c>
      <c r="I34" s="24">
        <f t="shared" ref="I34:I36" si="2">2.6*12</f>
        <v>31.200000000000003</v>
      </c>
      <c r="J34" s="6">
        <v>9.42</v>
      </c>
      <c r="K34" s="6">
        <v>5.17</v>
      </c>
      <c r="L34" s="6">
        <f>0.15*5+0.01*12</f>
        <v>0.87</v>
      </c>
      <c r="M34" s="16">
        <v>124</v>
      </c>
      <c r="N34" s="13">
        <f>Table5[[#This Row],[Cost]]/Table5[[#This Row],[SizTB]]</f>
        <v>62</v>
      </c>
      <c r="O34" s="14">
        <f>Table5[[#This Row],[Cost]]+((CompareWarrYrs-Table5[[#This Row],[Warnty]])*(Incremental_Warr_Yr*Table5[[#This Row],[Cost]]))</f>
        <v>124</v>
      </c>
      <c r="P34" s="7">
        <f>Table5[[#This Row],[$+Warr]]/Table5[[#This Row],[SizTB]]</f>
        <v>62</v>
      </c>
      <c r="Q34" s="13">
        <f>Table5[[#This Row],[$PerTB]]/CompareWarrYrs</f>
        <v>12.4</v>
      </c>
      <c r="R34" s="25"/>
      <c r="S34" s="54">
        <f>(((Table5[[#This Row],[Watts Active]]*Power_On_Hours_Year/1000)*Active_Duty_Cycle)+((Table5[[#This Row],[Watts Idle]]*Power_On_Hours_Year/1000)*(100%-Active_Duty_Cycle)))*CostPerKWH</f>
        <v>6.5962344000000002</v>
      </c>
      <c r="T34" s="55">
        <f>Table5[[#This Row],[Energy$year]]/Table5[[#This Row],[SizTB]]</f>
        <v>3.2981172000000001</v>
      </c>
    </row>
    <row r="35" spans="1:21" x14ac:dyDescent="0.25">
      <c r="A35" s="1">
        <v>42895</v>
      </c>
      <c r="B35" t="s">
        <v>11</v>
      </c>
      <c r="C35" t="s">
        <v>63</v>
      </c>
      <c r="D35" s="50" t="s">
        <v>69</v>
      </c>
      <c r="E35">
        <v>7200</v>
      </c>
      <c r="F35" s="5">
        <v>3</v>
      </c>
      <c r="G35" s="2">
        <f>(Table5[[#This Row],[RPM]]/5400-1)</f>
        <v>0.33333333333333326</v>
      </c>
      <c r="H35">
        <v>5</v>
      </c>
      <c r="I35" s="24">
        <f t="shared" si="2"/>
        <v>31.200000000000003</v>
      </c>
      <c r="J35" s="6">
        <v>11.27</v>
      </c>
      <c r="K35" s="24">
        <v>6.73</v>
      </c>
      <c r="L35" s="6">
        <f>0.15*5+0.01*12</f>
        <v>0.87</v>
      </c>
      <c r="M35" s="16">
        <v>149.99</v>
      </c>
      <c r="N35" s="13">
        <f>Table5[[#This Row],[Cost]]/Table5[[#This Row],[SizTB]]</f>
        <v>49.99666666666667</v>
      </c>
      <c r="O35" s="14">
        <f>Table5[[#This Row],[Cost]]+((CompareWarrYrs-Table5[[#This Row],[Warnty]])*(Incremental_Warr_Yr*Table5[[#This Row],[Cost]]))</f>
        <v>149.99</v>
      </c>
      <c r="P35" s="7">
        <f>Table5[[#This Row],[$+Warr]]/Table5[[#This Row],[SizTB]]</f>
        <v>49.99666666666667</v>
      </c>
      <c r="Q35" s="13">
        <f>Table5[[#This Row],[$PerTB]]/CompareWarrYrs</f>
        <v>9.9993333333333343</v>
      </c>
      <c r="R35" s="25"/>
      <c r="S35" s="54">
        <f>(((Table5[[#This Row],[Watts Active]]*Power_On_Hours_Year/1000)*Active_Duty_Cycle)+((Table5[[#This Row],[Watts Idle]]*Power_On_Hours_Year/1000)*(100%-Active_Duty_Cycle)))*CostPerKWH</f>
        <v>8.3691093600000013</v>
      </c>
      <c r="T35" s="55">
        <f>Table5[[#This Row],[Energy$year]]/Table5[[#This Row],[SizTB]]</f>
        <v>2.7897031200000004</v>
      </c>
    </row>
    <row r="36" spans="1:21" x14ac:dyDescent="0.25">
      <c r="A36" s="1">
        <v>42895</v>
      </c>
      <c r="B36" t="s">
        <v>11</v>
      </c>
      <c r="C36" t="s">
        <v>63</v>
      </c>
      <c r="D36" s="50" t="s">
        <v>69</v>
      </c>
      <c r="E36">
        <v>7200</v>
      </c>
      <c r="F36" s="5">
        <v>4</v>
      </c>
      <c r="G36" s="2">
        <f>(Table5[[#This Row],[RPM]]/5400-1)</f>
        <v>0.33333333333333326</v>
      </c>
      <c r="H36">
        <v>5</v>
      </c>
      <c r="I36" s="24">
        <f t="shared" si="2"/>
        <v>31.200000000000003</v>
      </c>
      <c r="J36" s="6">
        <v>11.27</v>
      </c>
      <c r="K36" s="6">
        <v>6.73</v>
      </c>
      <c r="L36" s="6">
        <f>0.15*5+0.01*12</f>
        <v>0.87</v>
      </c>
      <c r="M36" s="16">
        <v>159.99</v>
      </c>
      <c r="N36" s="13">
        <f>Table5[[#This Row],[Cost]]/Table5[[#This Row],[SizTB]]</f>
        <v>39.997500000000002</v>
      </c>
      <c r="O36" s="14">
        <f>Table5[[#This Row],[Cost]]+((CompareWarrYrs-Table5[[#This Row],[Warnty]])*(Incremental_Warr_Yr*Table5[[#This Row],[Cost]]))</f>
        <v>159.99</v>
      </c>
      <c r="P36" s="7">
        <f>Table5[[#This Row],[$+Warr]]/Table5[[#This Row],[SizTB]]</f>
        <v>39.997500000000002</v>
      </c>
      <c r="Q36" s="13">
        <f>Table5[[#This Row],[$PerTB]]/CompareWarrYrs</f>
        <v>7.9995000000000003</v>
      </c>
      <c r="R36" s="25"/>
      <c r="S36" s="54">
        <f>(((Table5[[#This Row],[Watts Active]]*Power_On_Hours_Year/1000)*Active_Duty_Cycle)+((Table5[[#This Row],[Watts Idle]]*Power_On_Hours_Year/1000)*(100%-Active_Duty_Cycle)))*CostPerKWH</f>
        <v>8.3691093600000013</v>
      </c>
      <c r="T36" s="55">
        <f>Table5[[#This Row],[Energy$year]]/Table5[[#This Row],[SizTB]]</f>
        <v>2.0922773400000003</v>
      </c>
    </row>
    <row r="37" spans="1:21" x14ac:dyDescent="0.25">
      <c r="A37" s="1">
        <v>42842</v>
      </c>
      <c r="B37" t="s">
        <v>11</v>
      </c>
      <c r="C37" t="s">
        <v>21</v>
      </c>
      <c r="D37" s="50" t="s">
        <v>69</v>
      </c>
      <c r="E37">
        <v>7200</v>
      </c>
      <c r="F37" s="5">
        <v>1</v>
      </c>
      <c r="G37" s="2">
        <f>(Table5[[#This Row],[RPM]]/5400-1)</f>
        <v>0.33333333333333326</v>
      </c>
      <c r="H37">
        <v>5</v>
      </c>
      <c r="I37" s="24"/>
      <c r="J37" s="6"/>
      <c r="K37" s="6"/>
      <c r="L37" s="6"/>
      <c r="M37" s="16">
        <v>99.99</v>
      </c>
      <c r="N37" s="13">
        <f>Table5[[#This Row],[Cost]]/Table5[[#This Row],[SizTB]]</f>
        <v>99.99</v>
      </c>
      <c r="O37" s="14">
        <f>Table5[[#This Row],[Cost]]+((CompareWarrYrs-Table5[[#This Row],[Warnty]])*(Incremental_Warr_Yr*Table5[[#This Row],[Cost]]))</f>
        <v>99.99</v>
      </c>
      <c r="P37" s="7">
        <f>Table5[[#This Row],[$+Warr]]/Table5[[#This Row],[SizTB]]</f>
        <v>99.99</v>
      </c>
      <c r="Q37" s="13">
        <f>Table5[[#This Row],[$PerTB]]/CompareWarrYrs</f>
        <v>19.997999999999998</v>
      </c>
      <c r="R37" s="8"/>
      <c r="S37" s="54"/>
      <c r="T37" s="55"/>
    </row>
    <row r="38" spans="1:21" x14ac:dyDescent="0.25">
      <c r="A38" s="1">
        <v>42842</v>
      </c>
      <c r="B38" t="s">
        <v>11</v>
      </c>
      <c r="C38" t="s">
        <v>21</v>
      </c>
      <c r="D38" s="50" t="s">
        <v>69</v>
      </c>
      <c r="E38">
        <v>7200</v>
      </c>
      <c r="F38" s="5">
        <v>2</v>
      </c>
      <c r="G38" s="2">
        <f>(Table5[[#This Row],[RPM]]/5400-1)</f>
        <v>0.33333333333333326</v>
      </c>
      <c r="H38">
        <v>5</v>
      </c>
      <c r="I38" s="24">
        <f t="shared" ref="I38:I41" si="3">12*1.8</f>
        <v>21.6</v>
      </c>
      <c r="J38" s="6">
        <v>6.4</v>
      </c>
      <c r="K38" s="6">
        <v>4.5</v>
      </c>
      <c r="L38" s="6">
        <v>0.6</v>
      </c>
      <c r="M38" s="16">
        <v>139.99</v>
      </c>
      <c r="N38" s="13">
        <f>Table5[[#This Row],[Cost]]/Table5[[#This Row],[SizTB]]</f>
        <v>69.995000000000005</v>
      </c>
      <c r="O38" s="14">
        <f>Table5[[#This Row],[Cost]]+((CompareWarrYrs-Table5[[#This Row],[Warnty]])*(Incremental_Warr_Yr*Table5[[#This Row],[Cost]]))</f>
        <v>139.99</v>
      </c>
      <c r="P38" s="7">
        <f>Table5[[#This Row],[$+Warr]]/Table5[[#This Row],[SizTB]]</f>
        <v>69.995000000000005</v>
      </c>
      <c r="Q38" s="13">
        <f>Table5[[#This Row],[$PerTB]]/CompareWarrYrs</f>
        <v>13.999000000000001</v>
      </c>
      <c r="R38" s="8"/>
      <c r="S38" s="54">
        <f>(((Table5[[#This Row],[Watts Active]]*Power_On_Hours_Year/1000)*Active_Duty_Cycle)+((Table5[[#This Row],[Watts Idle]]*Power_On_Hours_Year/1000)*(100%-Active_Duty_Cycle)))*CostPerKWH</f>
        <v>5.3471136000000001</v>
      </c>
      <c r="T38" s="55">
        <f>Table5[[#This Row],[Energy$year]]/Table5[[#This Row],[SizTB]]</f>
        <v>2.6735568000000001</v>
      </c>
    </row>
    <row r="39" spans="1:21" x14ac:dyDescent="0.25">
      <c r="A39" s="1">
        <v>42842</v>
      </c>
      <c r="B39" t="s">
        <v>11</v>
      </c>
      <c r="C39" t="s">
        <v>21</v>
      </c>
      <c r="D39" s="50" t="s">
        <v>69</v>
      </c>
      <c r="E39">
        <v>7200</v>
      </c>
      <c r="F39" s="5">
        <v>3</v>
      </c>
      <c r="G39" s="2">
        <f>(Table5[[#This Row],[RPM]]/5400-1)</f>
        <v>0.33333333333333326</v>
      </c>
      <c r="H39">
        <v>5</v>
      </c>
      <c r="I39" s="24">
        <f t="shared" si="3"/>
        <v>21.6</v>
      </c>
      <c r="J39" s="6">
        <v>6.7</v>
      </c>
      <c r="K39" s="6">
        <v>6</v>
      </c>
      <c r="L39" s="6">
        <v>0.6</v>
      </c>
      <c r="M39" s="16">
        <v>176.92</v>
      </c>
      <c r="N39" s="13">
        <f>Table5[[#This Row],[Cost]]/Table5[[#This Row],[SizTB]]</f>
        <v>58.973333333333329</v>
      </c>
      <c r="O39" s="14">
        <f>Table5[[#This Row],[Cost]]+((CompareWarrYrs-Table5[[#This Row],[Warnty]])*(Incremental_Warr_Yr*Table5[[#This Row],[Cost]]))</f>
        <v>176.92</v>
      </c>
      <c r="P39" s="7">
        <f>Table5[[#This Row],[$+Warr]]/Table5[[#This Row],[SizTB]]</f>
        <v>58.973333333333329</v>
      </c>
      <c r="Q39" s="13">
        <f>Table5[[#This Row],[$PerTB]]/CompareWarrYrs</f>
        <v>11.794666666666666</v>
      </c>
      <c r="R39" s="8"/>
      <c r="S39" s="54">
        <f>(((Table5[[#This Row],[Watts Active]]*Power_On_Hours_Year/1000)*Active_Duty_Cycle)+((Table5[[#This Row],[Watts Idle]]*Power_On_Hours_Year/1000)*(100%-Active_Duty_Cycle)))*CostPerKWH</f>
        <v>6.7277208000000002</v>
      </c>
      <c r="T39" s="55">
        <f>Table5[[#This Row],[Energy$year]]/Table5[[#This Row],[SizTB]]</f>
        <v>2.2425736000000001</v>
      </c>
    </row>
    <row r="40" spans="1:21" x14ac:dyDescent="0.25">
      <c r="A40" s="1">
        <v>42843</v>
      </c>
      <c r="B40" t="s">
        <v>11</v>
      </c>
      <c r="C40" t="s">
        <v>21</v>
      </c>
      <c r="D40" s="50" t="s">
        <v>69</v>
      </c>
      <c r="E40">
        <v>7200</v>
      </c>
      <c r="F40" s="5">
        <v>4</v>
      </c>
      <c r="G40" s="2">
        <f>(Table5[[#This Row],[RPM]]/5400-1)</f>
        <v>0.33333333333333326</v>
      </c>
      <c r="H40">
        <v>5</v>
      </c>
      <c r="I40" s="24">
        <f t="shared" si="3"/>
        <v>21.6</v>
      </c>
      <c r="J40" s="6">
        <v>6.7</v>
      </c>
      <c r="K40" s="6">
        <v>6</v>
      </c>
      <c r="L40" s="6">
        <v>0.6</v>
      </c>
      <c r="M40" s="16">
        <v>179.99</v>
      </c>
      <c r="N40" s="13">
        <f>Table5[[#This Row],[Cost]]/Table5[[#This Row],[SizTB]]</f>
        <v>44.997500000000002</v>
      </c>
      <c r="O40" s="14">
        <f>Table5[[#This Row],[Cost]]+((CompareWarrYrs-Table5[[#This Row],[Warnty]])*(Incremental_Warr_Yr*Table5[[#This Row],[Cost]]))</f>
        <v>179.99</v>
      </c>
      <c r="P40" s="7">
        <f>Table5[[#This Row],[$+Warr]]/Table5[[#This Row],[SizTB]]</f>
        <v>44.997500000000002</v>
      </c>
      <c r="Q40" s="13">
        <f>Table5[[#This Row],[$PerTB]]/CompareWarrYrs</f>
        <v>8.9995000000000012</v>
      </c>
      <c r="R40" s="8"/>
      <c r="S40" s="54">
        <f>(((Table5[[#This Row],[Watts Active]]*Power_On_Hours_Year/1000)*Active_Duty_Cycle)+((Table5[[#This Row],[Watts Idle]]*Power_On_Hours_Year/1000)*(100%-Active_Duty_Cycle)))*CostPerKWH</f>
        <v>6.7277208000000002</v>
      </c>
      <c r="T40" s="55">
        <f>Table5[[#This Row],[Energy$year]]/Table5[[#This Row],[SizTB]]</f>
        <v>1.6819302</v>
      </c>
    </row>
    <row r="41" spans="1:21" x14ac:dyDescent="0.25">
      <c r="A41" s="1">
        <v>42843</v>
      </c>
      <c r="B41" t="s">
        <v>11</v>
      </c>
      <c r="C41" t="s">
        <v>21</v>
      </c>
      <c r="D41" s="50" t="s">
        <v>69</v>
      </c>
      <c r="E41">
        <v>7200</v>
      </c>
      <c r="F41" s="5">
        <v>6</v>
      </c>
      <c r="G41" s="2">
        <f>(Table5[[#This Row],[RPM]]/5400-1)</f>
        <v>0.33333333333333326</v>
      </c>
      <c r="H41">
        <v>5</v>
      </c>
      <c r="I41" s="24">
        <f t="shared" si="3"/>
        <v>21.6</v>
      </c>
      <c r="J41" s="6">
        <v>9</v>
      </c>
      <c r="K41" s="6">
        <v>6.9</v>
      </c>
      <c r="L41" s="6">
        <v>0.6</v>
      </c>
      <c r="M41" s="16">
        <v>239.8</v>
      </c>
      <c r="N41" s="13">
        <f>Table5[[#This Row],[Cost]]/Table5[[#This Row],[SizTB]]</f>
        <v>39.966666666666669</v>
      </c>
      <c r="O41" s="14">
        <f>Table5[[#This Row],[Cost]]+((CompareWarrYrs-Table5[[#This Row],[Warnty]])*(Incremental_Warr_Yr*Table5[[#This Row],[Cost]]))</f>
        <v>239.8</v>
      </c>
      <c r="P41" s="7">
        <f>Table5[[#This Row],[$+Warr]]/Table5[[#This Row],[SizTB]]</f>
        <v>39.966666666666669</v>
      </c>
      <c r="Q41" s="13">
        <f>Table5[[#This Row],[$PerTB]]/CompareWarrYrs</f>
        <v>7.9933333333333341</v>
      </c>
      <c r="R41" s="8"/>
      <c r="S41" s="54">
        <f>(((Table5[[#This Row],[Watts Active]]*Power_On_Hours_Year/1000)*Active_Duty_Cycle)+((Table5[[#This Row],[Watts Idle]]*Power_On_Hours_Year/1000)*(100%-Active_Duty_Cycle)))*CostPerKWH</f>
        <v>8.0206704000000002</v>
      </c>
      <c r="T41" s="55">
        <f>Table5[[#This Row],[Energy$year]]/Table5[[#This Row],[SizTB]]</f>
        <v>1.3367784</v>
      </c>
    </row>
    <row r="42" spans="1:21" x14ac:dyDescent="0.25">
      <c r="A42" s="1">
        <v>42842</v>
      </c>
      <c r="B42" t="s">
        <v>11</v>
      </c>
      <c r="C42" t="s">
        <v>21</v>
      </c>
      <c r="D42" s="50" t="s">
        <v>69</v>
      </c>
      <c r="E42">
        <v>7200</v>
      </c>
      <c r="F42" s="5">
        <v>8</v>
      </c>
      <c r="G42" s="2">
        <f>(Table5[[#This Row],[RPM]]/5400-1)</f>
        <v>0.33333333333333326</v>
      </c>
      <c r="H42">
        <v>5</v>
      </c>
      <c r="I42" s="24">
        <f>12*1.8</f>
        <v>21.6</v>
      </c>
      <c r="J42" s="6">
        <v>9</v>
      </c>
      <c r="K42" s="17" t="s">
        <v>38</v>
      </c>
      <c r="L42" s="6">
        <v>0.6</v>
      </c>
      <c r="M42" s="16">
        <v>369.99</v>
      </c>
      <c r="N42" s="13">
        <f>Table5[[#This Row],[Cost]]/Table5[[#This Row],[SizTB]]</f>
        <v>46.248750000000001</v>
      </c>
      <c r="O42" s="14">
        <f>Table5[[#This Row],[Cost]]+((CompareWarrYrs-Table5[[#This Row],[Warnty]])*(Incremental_Warr_Yr*Table5[[#This Row],[Cost]]))</f>
        <v>369.99</v>
      </c>
      <c r="P42" s="7">
        <f>Table5[[#This Row],[$+Warr]]/Table5[[#This Row],[SizTB]]</f>
        <v>46.248750000000001</v>
      </c>
      <c r="Q42" s="13">
        <f>Table5[[#This Row],[$PerTB]]/CompareWarrYrs</f>
        <v>9.2497500000000006</v>
      </c>
      <c r="R42" s="8"/>
      <c r="S42" s="54"/>
      <c r="T42" s="55"/>
    </row>
    <row r="43" spans="1:21" x14ac:dyDescent="0.25">
      <c r="A43" s="1">
        <v>42830</v>
      </c>
      <c r="B43" t="s">
        <v>11</v>
      </c>
      <c r="C43" t="s">
        <v>40</v>
      </c>
      <c r="D43" s="50" t="s">
        <v>69</v>
      </c>
      <c r="E43">
        <v>7200</v>
      </c>
      <c r="F43" s="5">
        <v>1</v>
      </c>
      <c r="G43" s="2">
        <f>(Table5[[#This Row],[RPM]]/5400-1)</f>
        <v>0.33333333333333326</v>
      </c>
      <c r="H43">
        <v>5</v>
      </c>
      <c r="I43" s="24"/>
      <c r="J43" s="6">
        <v>4.74</v>
      </c>
      <c r="K43" s="18">
        <v>3.51</v>
      </c>
      <c r="L43" s="6">
        <v>1.1399999999999999</v>
      </c>
      <c r="M43" s="16">
        <v>188.8</v>
      </c>
      <c r="N43" s="13">
        <f>Table5[[#This Row],[Cost]]/Table5[[#This Row],[SizTB]]</f>
        <v>188.8</v>
      </c>
      <c r="O43" s="14">
        <f>Table5[[#This Row],[Cost]]+((CompareWarrYrs-Table5[[#This Row],[Warnty]])*(Incremental_Warr_Yr*Table5[[#This Row],[Cost]]))</f>
        <v>188.8</v>
      </c>
      <c r="P43" s="7">
        <f>Table5[[#This Row],[$+Warr]]/Table5[[#This Row],[SizTB]]</f>
        <v>188.8</v>
      </c>
      <c r="Q43" s="13">
        <f>Table5[[#This Row],[$PerTB]]/CompareWarrYrs</f>
        <v>37.760000000000005</v>
      </c>
      <c r="R43" s="8"/>
      <c r="S43" s="54">
        <f>(((Table5[[#This Row],[Watts Active]]*Power_On_Hours_Year/1000)*Active_Duty_Cycle)+((Table5[[#This Row],[Watts Idle]]*Power_On_Hours_Year/1000)*(100%-Active_Duty_Cycle)))*CostPerKWH</f>
        <v>4.1155243199999996</v>
      </c>
      <c r="T43" s="55">
        <f>Table5[[#This Row],[Energy$year]]/Table5[[#This Row],[SizTB]]</f>
        <v>4.1155243199999996</v>
      </c>
    </row>
    <row r="44" spans="1:21" x14ac:dyDescent="0.25">
      <c r="A44" s="1">
        <v>42830</v>
      </c>
      <c r="B44" t="s">
        <v>11</v>
      </c>
      <c r="C44" t="s">
        <v>40</v>
      </c>
      <c r="D44" s="50" t="s">
        <v>69</v>
      </c>
      <c r="E44">
        <v>7200</v>
      </c>
      <c r="F44" s="5">
        <v>2</v>
      </c>
      <c r="G44" s="2">
        <f>(Table5[[#This Row],[RPM]]/5400-1)</f>
        <v>0.33333333333333326</v>
      </c>
      <c r="H44">
        <v>5</v>
      </c>
      <c r="I44" s="24"/>
      <c r="J44" s="6">
        <v>5.22</v>
      </c>
      <c r="K44" s="18">
        <v>3.87</v>
      </c>
      <c r="L44" s="6">
        <v>1.1399999999999999</v>
      </c>
      <c r="M44" s="16">
        <v>319.99</v>
      </c>
      <c r="N44" s="13">
        <f>Table5[[#This Row],[Cost]]/Table5[[#This Row],[SizTB]]</f>
        <v>159.995</v>
      </c>
      <c r="O44" s="14">
        <f>Table5[[#This Row],[Cost]]+((CompareWarrYrs-Table5[[#This Row],[Warnty]])*(Incremental_Warr_Yr*Table5[[#This Row],[Cost]]))</f>
        <v>319.99</v>
      </c>
      <c r="P44" s="7">
        <f>Table5[[#This Row],[$+Warr]]/Table5[[#This Row],[SizTB]]</f>
        <v>159.995</v>
      </c>
      <c r="Q44" s="13">
        <f>Table5[[#This Row],[$PerTB]]/CompareWarrYrs</f>
        <v>31.999000000000002</v>
      </c>
      <c r="R44" s="8"/>
      <c r="S44" s="54">
        <f>(((Table5[[#This Row],[Watts Active]]*Power_On_Hours_Year/1000)*Active_Duty_Cycle)+((Table5[[#This Row],[Watts Idle]]*Power_On_Hours_Year/1000)*(100%-Active_Duty_Cycle)))*CostPerKWH</f>
        <v>4.5362808000000001</v>
      </c>
      <c r="T44" s="55">
        <f>Table5[[#This Row],[Energy$year]]/Table5[[#This Row],[SizTB]]</f>
        <v>2.2681404000000001</v>
      </c>
    </row>
    <row r="45" spans="1:21" x14ac:dyDescent="0.25">
      <c r="A45" s="1">
        <v>42830</v>
      </c>
      <c r="B45" t="s">
        <v>11</v>
      </c>
      <c r="C45" t="s">
        <v>41</v>
      </c>
      <c r="D45" s="50" t="s">
        <v>69</v>
      </c>
      <c r="E45">
        <v>7200</v>
      </c>
      <c r="F45" s="5">
        <v>10</v>
      </c>
      <c r="G45" s="2">
        <f>(Table5[[#This Row],[RPM]]/5400-1)</f>
        <v>0.33333333333333326</v>
      </c>
      <c r="H45">
        <v>5</v>
      </c>
      <c r="I45" s="24"/>
      <c r="J45" s="6"/>
      <c r="K45" s="17"/>
      <c r="L45" s="6"/>
      <c r="M45" s="16">
        <v>421.99</v>
      </c>
      <c r="N45" s="13">
        <f>Table5[[#This Row],[Cost]]/Table5[[#This Row],[SizTB]]</f>
        <v>42.198999999999998</v>
      </c>
      <c r="O45" s="14">
        <f>Table5[[#This Row],[Cost]]+((CompareWarrYrs-Table5[[#This Row],[Warnty]])*(Incremental_Warr_Yr*Table5[[#This Row],[Cost]]))</f>
        <v>421.99</v>
      </c>
      <c r="P45" s="7">
        <f>Table5[[#This Row],[$+Warr]]/Table5[[#This Row],[SizTB]]</f>
        <v>42.198999999999998</v>
      </c>
      <c r="Q45" s="13">
        <f>Table5[[#This Row],[$PerTB]]/CompareWarrYrs</f>
        <v>8.4398</v>
      </c>
      <c r="R45" s="8"/>
      <c r="S45" s="54"/>
      <c r="T45" s="55"/>
      <c r="U45" t="s">
        <v>50</v>
      </c>
    </row>
    <row r="46" spans="1:21" x14ac:dyDescent="0.25">
      <c r="A46" s="1">
        <v>42948</v>
      </c>
      <c r="B46" t="s">
        <v>11</v>
      </c>
      <c r="C46" t="s">
        <v>58</v>
      </c>
      <c r="D46" s="50"/>
      <c r="E46">
        <v>7200</v>
      </c>
      <c r="F46" s="5">
        <v>1</v>
      </c>
      <c r="G46" s="2">
        <f>(Table5[[#This Row],[RPM]]/5400-1)</f>
        <v>0.33333333333333326</v>
      </c>
      <c r="H46">
        <v>5</v>
      </c>
      <c r="I46" s="24">
        <v>24</v>
      </c>
      <c r="J46" s="6">
        <v>5.9</v>
      </c>
      <c r="K46" s="6">
        <v>4.5</v>
      </c>
      <c r="L46" s="6">
        <v>0.63</v>
      </c>
      <c r="M46" s="16">
        <v>69.989999999999995</v>
      </c>
      <c r="N46" s="13">
        <f>Table5[[#This Row],[Cost]]/Table5[[#This Row],[SizTB]]</f>
        <v>69.989999999999995</v>
      </c>
      <c r="O46" s="14">
        <f>Table5[[#This Row],[Cost]]+((CompareWarrYrs-Table5[[#This Row],[Warnty]])*(Incremental_Warr_Yr*Table5[[#This Row],[Cost]]))</f>
        <v>69.989999999999995</v>
      </c>
      <c r="P46" s="7">
        <f>Table5[[#This Row],[$+Warr]]/Table5[[#This Row],[SizTB]]</f>
        <v>69.989999999999995</v>
      </c>
      <c r="Q46" s="13">
        <f>Table5[[#This Row],[$PerTB]]/CompareWarrYrs</f>
        <v>13.997999999999999</v>
      </c>
      <c r="R46" s="8"/>
      <c r="S46" s="54">
        <f>(((Table5[[#This Row],[Watts Active]]*Power_On_Hours_Year/1000)*Active_Duty_Cycle)+((Table5[[#This Row],[Watts Idle]]*Power_On_Hours_Year/1000)*(100%-Active_Duty_Cycle)))*CostPerKWH</f>
        <v>5.2375416000000001</v>
      </c>
      <c r="T46" s="55">
        <f>Table5[[#This Row],[Energy$year]]/Table5[[#This Row],[SizTB]]</f>
        <v>5.2375416000000001</v>
      </c>
      <c r="U46" t="s">
        <v>59</v>
      </c>
    </row>
    <row r="47" spans="1:21" x14ac:dyDescent="0.25">
      <c r="A47" s="1">
        <v>42956</v>
      </c>
      <c r="B47" t="s">
        <v>11</v>
      </c>
      <c r="C47" t="s">
        <v>58</v>
      </c>
      <c r="D47" s="50"/>
      <c r="E47">
        <v>7200</v>
      </c>
      <c r="F47" s="5">
        <v>2</v>
      </c>
      <c r="G47" s="2">
        <f>(Table5[[#This Row],[RPM]]/5400-1)</f>
        <v>0.33333333333333326</v>
      </c>
      <c r="H47">
        <v>5</v>
      </c>
      <c r="I47" s="24">
        <v>24</v>
      </c>
      <c r="J47" s="6">
        <v>6.7</v>
      </c>
      <c r="K47" s="6">
        <v>3.36</v>
      </c>
      <c r="L47" s="6">
        <v>0.75</v>
      </c>
      <c r="M47" s="16">
        <v>89.99</v>
      </c>
      <c r="N47" s="13">
        <f>Table5[[#This Row],[Cost]]/Table5[[#This Row],[SizTB]]</f>
        <v>44.994999999999997</v>
      </c>
      <c r="O47" s="14">
        <f>Table5[[#This Row],[Cost]]+((CompareWarrYrs-Table5[[#This Row],[Warnty]])*(Incremental_Warr_Yr*Table5[[#This Row],[Cost]]))</f>
        <v>89.99</v>
      </c>
      <c r="P47" s="7">
        <f>Table5[[#This Row],[$+Warr]]/Table5[[#This Row],[SizTB]]</f>
        <v>44.994999999999997</v>
      </c>
      <c r="Q47" s="13">
        <f>Table5[[#This Row],[$PerTB]]/CompareWarrYrs</f>
        <v>8.9989999999999988</v>
      </c>
      <c r="R47" s="8"/>
      <c r="S47" s="54">
        <f>(((Table5[[#This Row],[Watts Active]]*Power_On_Hours_Year/1000)*Active_Duty_Cycle)+((Table5[[#This Row],[Watts Idle]]*Power_On_Hours_Year/1000)*(100%-Active_Duty_Cycle)))*CostPerKWH</f>
        <v>4.4135601600000003</v>
      </c>
      <c r="T47" s="55">
        <f>Table5[[#This Row],[Energy$year]]/Table5[[#This Row],[SizTB]]</f>
        <v>2.2067800800000001</v>
      </c>
      <c r="U47" t="s">
        <v>59</v>
      </c>
    </row>
    <row r="48" spans="1:21" x14ac:dyDescent="0.25">
      <c r="A48" s="1">
        <v>42946</v>
      </c>
      <c r="B48" t="s">
        <v>11</v>
      </c>
      <c r="C48" t="s">
        <v>60</v>
      </c>
      <c r="D48" s="50"/>
      <c r="E48">
        <v>5400</v>
      </c>
      <c r="F48" s="5">
        <v>1</v>
      </c>
      <c r="G48" s="2">
        <f>(Table5[[#This Row],[RPM]]/5400-1)</f>
        <v>0</v>
      </c>
      <c r="H48">
        <v>5</v>
      </c>
      <c r="I48" s="24">
        <v>5</v>
      </c>
      <c r="J48" s="6">
        <v>1.7</v>
      </c>
      <c r="K48" s="6">
        <v>1.45</v>
      </c>
      <c r="L48" s="6"/>
      <c r="M48" s="16">
        <v>54.99</v>
      </c>
      <c r="N48" s="13">
        <f>Table5[[#This Row],[Cost]]/Table5[[#This Row],[SizTB]]</f>
        <v>54.99</v>
      </c>
      <c r="O48" s="14">
        <f>Table5[[#This Row],[Cost]]+((CompareWarrYrs-Table5[[#This Row],[Warnty]])*(Incremental_Warr_Yr*Table5[[#This Row],[Cost]]))</f>
        <v>54.99</v>
      </c>
      <c r="P48" s="7">
        <f>Table5[[#This Row],[$+Warr]]/Table5[[#This Row],[SizTB]]</f>
        <v>54.99</v>
      </c>
      <c r="Q48" s="13">
        <f>Table5[[#This Row],[$PerTB]]/CompareWarrYrs</f>
        <v>10.998000000000001</v>
      </c>
      <c r="R48" s="8"/>
      <c r="S48" s="54">
        <f>(((Table5[[#This Row],[Watts Active]]*Power_On_Hours_Year/1000)*Active_Duty_Cycle)+((Table5[[#This Row],[Watts Idle]]*Power_On_Hours_Year/1000)*(100%-Active_Duty_Cycle)))*CostPerKWH</f>
        <v>1.64358</v>
      </c>
      <c r="T48" s="55">
        <f>Table5[[#This Row],[Energy$year]]/Table5[[#This Row],[SizTB]]</f>
        <v>1.64358</v>
      </c>
      <c r="U48" t="s">
        <v>59</v>
      </c>
    </row>
    <row r="49" spans="1:21" x14ac:dyDescent="0.25">
      <c r="A49" s="1">
        <v>42953</v>
      </c>
      <c r="B49" t="s">
        <v>11</v>
      </c>
      <c r="C49" t="s">
        <v>60</v>
      </c>
      <c r="D49" s="50"/>
      <c r="E49">
        <v>5400</v>
      </c>
      <c r="F49" s="5">
        <v>2</v>
      </c>
      <c r="G49" s="2">
        <f>(Table5[[#This Row],[RPM]]/5400-1)</f>
        <v>0</v>
      </c>
      <c r="H49">
        <v>5</v>
      </c>
      <c r="I49" s="24">
        <v>5</v>
      </c>
      <c r="J49" s="6">
        <v>1.8</v>
      </c>
      <c r="K49" s="6">
        <v>1.5</v>
      </c>
      <c r="L49" s="6"/>
      <c r="M49" s="16">
        <v>79.989999999999995</v>
      </c>
      <c r="N49" s="13">
        <f>Table5[[#This Row],[Cost]]/Table5[[#This Row],[SizTB]]</f>
        <v>39.994999999999997</v>
      </c>
      <c r="O49" s="14">
        <f>Table5[[#This Row],[Cost]]+((CompareWarrYrs-Table5[[#This Row],[Warnty]])*(Incremental_Warr_Yr*Table5[[#This Row],[Cost]]))</f>
        <v>79.989999999999995</v>
      </c>
      <c r="P49" s="7">
        <f>Table5[[#This Row],[$+Warr]]/Table5[[#This Row],[SizTB]]</f>
        <v>39.994999999999997</v>
      </c>
      <c r="Q49" s="13">
        <f>Table5[[#This Row],[$PerTB]]/CompareWarrYrs</f>
        <v>7.9989999999999997</v>
      </c>
      <c r="R49" s="8"/>
      <c r="S49" s="54">
        <f>(((Table5[[#This Row],[Watts Active]]*Power_On_Hours_Year/1000)*Active_Duty_Cycle)+((Table5[[#This Row],[Watts Idle]]*Power_On_Hours_Year/1000)*(100%-Active_Duty_Cycle)))*CostPerKWH</f>
        <v>1.7093232</v>
      </c>
      <c r="T49" s="55">
        <f>Table5[[#This Row],[Energy$year]]/Table5[[#This Row],[SizTB]]</f>
        <v>0.85466160000000002</v>
      </c>
      <c r="U49" t="s">
        <v>59</v>
      </c>
    </row>
    <row r="50" spans="1:21" x14ac:dyDescent="0.25">
      <c r="A50" s="1">
        <v>42842</v>
      </c>
      <c r="B50" t="s">
        <v>11</v>
      </c>
      <c r="C50" t="s">
        <v>14</v>
      </c>
      <c r="D50" s="50" t="s">
        <v>69</v>
      </c>
      <c r="E50">
        <v>5900</v>
      </c>
      <c r="F50" s="5">
        <v>1</v>
      </c>
      <c r="G50" s="2">
        <f>(Table5[[#This Row],[RPM]]/5400-1)</f>
        <v>9.259259259259256E-2</v>
      </c>
      <c r="H50">
        <v>3</v>
      </c>
      <c r="I50" s="24">
        <f>12*1.2</f>
        <v>14.399999999999999</v>
      </c>
      <c r="J50" s="6">
        <v>3.6</v>
      </c>
      <c r="K50" s="6">
        <v>2.5</v>
      </c>
      <c r="L50" s="6">
        <v>0.8</v>
      </c>
      <c r="M50" s="16">
        <v>64.489999999999995</v>
      </c>
      <c r="N50" s="13">
        <f>Table5[[#This Row],[Cost]]/Table5[[#This Row],[SizTB]]</f>
        <v>64.489999999999995</v>
      </c>
      <c r="O50" s="14">
        <f>Table5[[#This Row],[Cost]]+((CompareWarrYrs-Table5[[#This Row],[Warnty]])*(Incremental_Warr_Yr*Table5[[#This Row],[Cost]]))</f>
        <v>78.677799999999991</v>
      </c>
      <c r="P50" s="7">
        <f>Table5[[#This Row],[$+Warr]]/Table5[[#This Row],[SizTB]]</f>
        <v>78.677799999999991</v>
      </c>
      <c r="Q50" s="13">
        <f>Table5[[#This Row],[$PerTB]]/CompareWarrYrs</f>
        <v>15.735559999999998</v>
      </c>
      <c r="R50" s="8"/>
      <c r="S50" s="54">
        <f>(((Table5[[#This Row],[Watts Active]]*Power_On_Hours_Year/1000)*Active_Duty_Cycle)+((Table5[[#This Row],[Watts Idle]]*Power_On_Hours_Year/1000)*(100%-Active_Duty_Cycle)))*CostPerKWH</f>
        <v>2.9803584000000001</v>
      </c>
      <c r="T50" s="55">
        <f>Table5[[#This Row],[Energy$year]]/Table5[[#This Row],[SizTB]]</f>
        <v>2.9803584000000001</v>
      </c>
      <c r="U50" t="s">
        <v>59</v>
      </c>
    </row>
    <row r="51" spans="1:21" x14ac:dyDescent="0.25">
      <c r="A51" s="1">
        <v>42949</v>
      </c>
      <c r="B51" t="s">
        <v>11</v>
      </c>
      <c r="C51" t="s">
        <v>14</v>
      </c>
      <c r="D51" s="50" t="s">
        <v>69</v>
      </c>
      <c r="E51">
        <v>5900</v>
      </c>
      <c r="F51" s="5">
        <v>2</v>
      </c>
      <c r="G51" s="2">
        <f>(Table5[[#This Row],[RPM]]/5400-1)</f>
        <v>9.259259259259256E-2</v>
      </c>
      <c r="H51">
        <v>3</v>
      </c>
      <c r="I51" s="24">
        <f>12*2</f>
        <v>24</v>
      </c>
      <c r="J51" s="6">
        <v>5</v>
      </c>
      <c r="K51" s="6">
        <v>3.7</v>
      </c>
      <c r="L51" s="6">
        <v>0.8</v>
      </c>
      <c r="M51" s="16">
        <v>74.989999999999995</v>
      </c>
      <c r="N51" s="13">
        <f>Table5[[#This Row],[Cost]]/Table5[[#This Row],[SizTB]]</f>
        <v>37.494999999999997</v>
      </c>
      <c r="O51" s="14">
        <f>Table5[[#This Row],[Cost]]+((CompareWarrYrs-Table5[[#This Row],[Warnty]])*(Incremental_Warr_Yr*Table5[[#This Row],[Cost]]))</f>
        <v>91.487799999999993</v>
      </c>
      <c r="P51" s="7">
        <f>Table5[[#This Row],[$+Warr]]/Table5[[#This Row],[SizTB]]</f>
        <v>45.743899999999996</v>
      </c>
      <c r="Q51" s="13">
        <f>Table5[[#This Row],[$PerTB]]/CompareWarrYrs</f>
        <v>9.1487799999999986</v>
      </c>
      <c r="R51" s="8"/>
      <c r="S51" s="54">
        <f>(((Table5[[#This Row],[Watts Active]]*Power_On_Hours_Year/1000)*Active_Duty_Cycle)+((Table5[[#This Row],[Watts Idle]]*Power_On_Hours_Year/1000)*(100%-Active_Duty_Cycle)))*CostPerKWH</f>
        <v>4.3390512000000001</v>
      </c>
      <c r="T51" s="55">
        <f>Table5[[#This Row],[Energy$year]]/Table5[[#This Row],[SizTB]]</f>
        <v>2.1695256000000001</v>
      </c>
    </row>
    <row r="52" spans="1:21" x14ac:dyDescent="0.25">
      <c r="A52" s="1">
        <v>42842</v>
      </c>
      <c r="B52" t="s">
        <v>11</v>
      </c>
      <c r="C52" t="s">
        <v>14</v>
      </c>
      <c r="D52" s="50" t="s">
        <v>69</v>
      </c>
      <c r="E52">
        <v>5900</v>
      </c>
      <c r="F52" s="5">
        <v>3</v>
      </c>
      <c r="G52" s="2">
        <f>(Table5[[#This Row],[RPM]]/5400-1)</f>
        <v>9.259259259259256E-2</v>
      </c>
      <c r="H52">
        <v>3</v>
      </c>
      <c r="I52" s="24">
        <f>12*2</f>
        <v>24</v>
      </c>
      <c r="J52" s="6">
        <v>5.6</v>
      </c>
      <c r="K52" s="6">
        <v>4.9000000000000004</v>
      </c>
      <c r="L52" s="6">
        <v>0.6</v>
      </c>
      <c r="M52" s="16">
        <v>109</v>
      </c>
      <c r="N52" s="13">
        <f>Table5[[#This Row],[Cost]]/Table5[[#This Row],[SizTB]]</f>
        <v>36.333333333333336</v>
      </c>
      <c r="O52" s="14">
        <f>Table5[[#This Row],[Cost]]+((CompareWarrYrs-Table5[[#This Row],[Warnty]])*(Incremental_Warr_Yr*Table5[[#This Row],[Cost]]))</f>
        <v>132.97999999999999</v>
      </c>
      <c r="P52" s="7">
        <f>Table5[[#This Row],[$+Warr]]/Table5[[#This Row],[SizTB]]</f>
        <v>44.326666666666661</v>
      </c>
      <c r="Q52" s="13">
        <f>Table5[[#This Row],[$PerTB]]/CompareWarrYrs</f>
        <v>8.8653333333333322</v>
      </c>
      <c r="R52" s="8"/>
      <c r="S52" s="54">
        <f>(((Table5[[#This Row],[Watts Active]]*Power_On_Hours_Year/1000)*Active_Duty_Cycle)+((Table5[[#This Row],[Watts Idle]]*Power_On_Hours_Year/1000)*(100%-Active_Duty_Cycle)))*CostPerKWH</f>
        <v>5.5224288000000001</v>
      </c>
      <c r="T52" s="55">
        <f>Table5[[#This Row],[Energy$year]]/Table5[[#This Row],[SizTB]]</f>
        <v>1.8408096</v>
      </c>
    </row>
    <row r="53" spans="1:21" x14ac:dyDescent="0.25">
      <c r="A53" s="1">
        <v>42948</v>
      </c>
      <c r="B53" t="s">
        <v>11</v>
      </c>
      <c r="C53" t="s">
        <v>14</v>
      </c>
      <c r="D53" s="50" t="s">
        <v>69</v>
      </c>
      <c r="E53">
        <v>5900</v>
      </c>
      <c r="F53" s="5">
        <v>4</v>
      </c>
      <c r="G53" s="2">
        <f>(Table5[[#This Row],[RPM]]/5400-1)</f>
        <v>9.259259259259256E-2</v>
      </c>
      <c r="H53">
        <v>3</v>
      </c>
      <c r="I53" s="24">
        <f>12*2</f>
        <v>24</v>
      </c>
      <c r="J53" s="6">
        <v>4.8</v>
      </c>
      <c r="K53" s="6">
        <v>3.95</v>
      </c>
      <c r="L53" s="6">
        <v>0.5</v>
      </c>
      <c r="M53" s="16">
        <v>114.99</v>
      </c>
      <c r="N53" s="13">
        <f>Table5[[#This Row],[Cost]]/Table5[[#This Row],[SizTB]]</f>
        <v>28.747499999999999</v>
      </c>
      <c r="O53" s="14">
        <f>Table5[[#This Row],[Cost]]+((CompareWarrYrs-Table5[[#This Row],[Warnty]])*(Incremental_Warr_Yr*Table5[[#This Row],[Cost]]))</f>
        <v>140.2878</v>
      </c>
      <c r="P53" s="7">
        <f>Table5[[#This Row],[$+Warr]]/Table5[[#This Row],[SizTB]]</f>
        <v>35.071950000000001</v>
      </c>
      <c r="Q53" s="13">
        <f>Table5[[#This Row],[$PerTB]]/CompareWarrYrs</f>
        <v>7.0143900000000006</v>
      </c>
      <c r="R53" s="8"/>
      <c r="S53" s="54">
        <f>(((Table5[[#This Row],[Watts Active]]*Power_On_Hours_Year/1000)*Active_Duty_Cycle)+((Table5[[#This Row],[Watts Idle]]*Power_On_Hours_Year/1000)*(100%-Active_Duty_Cycle)))*CostPerKWH</f>
        <v>4.5143664000000001</v>
      </c>
      <c r="T53" s="55">
        <f>Table5[[#This Row],[Energy$year]]/Table5[[#This Row],[SizTB]]</f>
        <v>1.1285916</v>
      </c>
    </row>
    <row r="54" spans="1:21" x14ac:dyDescent="0.25">
      <c r="A54" s="1">
        <v>42893</v>
      </c>
      <c r="B54" t="s">
        <v>11</v>
      </c>
      <c r="C54" t="s">
        <v>14</v>
      </c>
      <c r="D54" s="50" t="s">
        <v>69</v>
      </c>
      <c r="E54">
        <v>7200</v>
      </c>
      <c r="F54" s="5">
        <v>6</v>
      </c>
      <c r="G54" s="2">
        <f>(Table5[[#This Row],[RPM]]/5400-1)</f>
        <v>0.33333333333333326</v>
      </c>
      <c r="H54">
        <v>3</v>
      </c>
      <c r="I54" s="24">
        <f>12*2</f>
        <v>24</v>
      </c>
      <c r="J54" s="6">
        <v>9</v>
      </c>
      <c r="K54" s="6">
        <v>7.2</v>
      </c>
      <c r="L54" s="6">
        <v>0.6</v>
      </c>
      <c r="M54" s="16">
        <v>189.99</v>
      </c>
      <c r="N54" s="13">
        <f>Table5[[#This Row],[Cost]]/Table5[[#This Row],[SizTB]]</f>
        <v>31.665000000000003</v>
      </c>
      <c r="O54" s="14">
        <f>Table5[[#This Row],[Cost]]+((CompareWarrYrs-Table5[[#This Row],[Warnty]])*(Incremental_Warr_Yr*Table5[[#This Row],[Cost]]))</f>
        <v>231.7878</v>
      </c>
      <c r="P54" s="7">
        <f>Table5[[#This Row],[$+Warr]]/Table5[[#This Row],[SizTB]]</f>
        <v>38.631300000000003</v>
      </c>
      <c r="Q54" s="13">
        <f>Table5[[#This Row],[$PerTB]]/CompareWarrYrs</f>
        <v>7.7262600000000008</v>
      </c>
      <c r="R54" s="8"/>
      <c r="S54" s="54">
        <f>(((Table5[[#This Row],[Watts Active]]*Power_On_Hours_Year/1000)*Active_Duty_Cycle)+((Table5[[#This Row],[Watts Idle]]*Power_On_Hours_Year/1000)*(100%-Active_Duty_Cycle)))*CostPerKWH</f>
        <v>8.2836432000000002</v>
      </c>
      <c r="T54" s="55">
        <f>Table5[[#This Row],[Energy$year]]/Table5[[#This Row],[SizTB]]</f>
        <v>1.3806072</v>
      </c>
    </row>
    <row r="55" spans="1:21" x14ac:dyDescent="0.25">
      <c r="A55" s="1">
        <v>42948</v>
      </c>
      <c r="B55" t="s">
        <v>11</v>
      </c>
      <c r="C55" t="s">
        <v>14</v>
      </c>
      <c r="D55" s="50" t="s">
        <v>69</v>
      </c>
      <c r="E55">
        <v>7200</v>
      </c>
      <c r="F55" s="5">
        <v>8</v>
      </c>
      <c r="G55" s="2">
        <f>(Table5[[#This Row],[RPM]]/5400-1)</f>
        <v>0.33333333333333326</v>
      </c>
      <c r="H55">
        <v>3</v>
      </c>
      <c r="I55" s="24">
        <f>12*2</f>
        <v>24</v>
      </c>
      <c r="J55" s="6">
        <v>9</v>
      </c>
      <c r="K55" s="6">
        <v>7.2</v>
      </c>
      <c r="L55" s="6">
        <v>0.6</v>
      </c>
      <c r="M55" s="16">
        <f>264.99-25</f>
        <v>239.99</v>
      </c>
      <c r="N55" s="13">
        <f>Table5[[#This Row],[Cost]]/Table5[[#This Row],[SizTB]]</f>
        <v>29.998750000000001</v>
      </c>
      <c r="O55" s="14">
        <f>Table5[[#This Row],[Cost]]+((CompareWarrYrs-Table5[[#This Row],[Warnty]])*(Incremental_Warr_Yr*Table5[[#This Row],[Cost]]))</f>
        <v>292.7878</v>
      </c>
      <c r="P55" s="7">
        <f>Table5[[#This Row],[$+Warr]]/Table5[[#This Row],[SizTB]]</f>
        <v>36.598475000000001</v>
      </c>
      <c r="Q55" s="13">
        <f>Table5[[#This Row],[$PerTB]]/CompareWarrYrs</f>
        <v>7.3196950000000003</v>
      </c>
      <c r="R55" s="8"/>
      <c r="S55" s="54">
        <f>(((Table5[[#This Row],[Watts Active]]*Power_On_Hours_Year/1000)*Active_Duty_Cycle)+((Table5[[#This Row],[Watts Idle]]*Power_On_Hours_Year/1000)*(100%-Active_Duty_Cycle)))*CostPerKWH</f>
        <v>8.2836432000000002</v>
      </c>
      <c r="T55" s="55">
        <f>Table5[[#This Row],[Energy$year]]/Table5[[#This Row],[SizTB]]</f>
        <v>1.0354554</v>
      </c>
    </row>
    <row r="56" spans="1:21" x14ac:dyDescent="0.25">
      <c r="A56" s="1">
        <v>42842</v>
      </c>
      <c r="B56" t="s">
        <v>11</v>
      </c>
      <c r="C56" t="s">
        <v>14</v>
      </c>
      <c r="D56" s="50" t="s">
        <v>69</v>
      </c>
      <c r="E56">
        <v>7200</v>
      </c>
      <c r="F56" s="5">
        <v>10</v>
      </c>
      <c r="G56" s="2">
        <f>(Table5[[#This Row],[RPM]]/5400-1)</f>
        <v>0.33333333333333326</v>
      </c>
      <c r="H56">
        <v>3</v>
      </c>
      <c r="I56" s="24">
        <f>12*1.8</f>
        <v>21.6</v>
      </c>
      <c r="J56" s="6">
        <v>6.8</v>
      </c>
      <c r="K56" s="6">
        <v>4.42</v>
      </c>
      <c r="L56" s="6">
        <v>0.8</v>
      </c>
      <c r="M56" s="16">
        <v>369.99</v>
      </c>
      <c r="N56" s="13">
        <f>Table5[[#This Row],[Cost]]/Table5[[#This Row],[SizTB]]</f>
        <v>36.999000000000002</v>
      </c>
      <c r="O56" s="14">
        <f>Table5[[#This Row],[Cost]]+((CompareWarrYrs-Table5[[#This Row],[Warnty]])*(Incremental_Warr_Yr*Table5[[#This Row],[Cost]]))</f>
        <v>451.38780000000003</v>
      </c>
      <c r="P56" s="7">
        <f>Table5[[#This Row],[$+Warr]]/Table5[[#This Row],[SizTB]]</f>
        <v>45.138780000000004</v>
      </c>
      <c r="Q56" s="13">
        <f>Table5[[#This Row],[$PerTB]]/CompareWarrYrs</f>
        <v>9.0277560000000001</v>
      </c>
      <c r="R56" s="8"/>
      <c r="S56" s="54">
        <f>(((Table5[[#This Row],[Watts Active]]*Power_On_Hours_Year/1000)*Active_Duty_Cycle)+((Table5[[#This Row],[Watts Idle]]*Power_On_Hours_Year/1000)*(100%-Active_Duty_Cycle)))*CostPerKWH</f>
        <v>5.3646451200000005</v>
      </c>
      <c r="T56" s="55">
        <f>Table5[[#This Row],[Energy$year]]/Table5[[#This Row],[SizTB]]</f>
        <v>0.536464512</v>
      </c>
    </row>
    <row r="57" spans="1:21" x14ac:dyDescent="0.25">
      <c r="A57" s="1">
        <v>42842</v>
      </c>
      <c r="B57" t="s">
        <v>11</v>
      </c>
      <c r="C57" t="s">
        <v>18</v>
      </c>
      <c r="D57" s="50" t="s">
        <v>69</v>
      </c>
      <c r="E57">
        <v>7200</v>
      </c>
      <c r="F57" s="5">
        <v>2</v>
      </c>
      <c r="G57" s="2">
        <f>(Table5[[#This Row],[RPM]]/5400-1)</f>
        <v>0.33333333333333326</v>
      </c>
      <c r="H57">
        <v>5</v>
      </c>
      <c r="I57" s="24">
        <f>12*2</f>
        <v>24</v>
      </c>
      <c r="J57" s="6">
        <v>7.5</v>
      </c>
      <c r="K57" s="6">
        <v>4.5</v>
      </c>
      <c r="L57" s="6">
        <v>0.8</v>
      </c>
      <c r="M57" s="16">
        <v>144.99</v>
      </c>
      <c r="N57" s="13">
        <f>Table5[[#This Row],[Cost]]/Table5[[#This Row],[SizTB]]</f>
        <v>72.495000000000005</v>
      </c>
      <c r="O57" s="14">
        <f>Table5[[#This Row],[Cost]]+((CompareWarrYrs-Table5[[#This Row],[Warnty]])*(Incremental_Warr_Yr*Table5[[#This Row],[Cost]]))</f>
        <v>144.99</v>
      </c>
      <c r="P57" s="7">
        <f>Table5[[#This Row],[$+Warr]]/Table5[[#This Row],[SizTB]]</f>
        <v>72.495000000000005</v>
      </c>
      <c r="Q57" s="13">
        <f>Table5[[#This Row],[$PerTB]]/CompareWarrYrs</f>
        <v>14.499000000000001</v>
      </c>
      <c r="R57" s="8"/>
      <c r="S57" s="54">
        <f>(((Table5[[#This Row],[Watts Active]]*Power_On_Hours_Year/1000)*Active_Duty_Cycle)+((Table5[[#This Row],[Watts Idle]]*Power_On_Hours_Year/1000)*(100%-Active_Duty_Cycle)))*CostPerKWH</f>
        <v>5.5881720000000001</v>
      </c>
      <c r="T57" s="57">
        <f>Table5[[#This Row],[Energy$year]]/Table5[[#This Row],[SizTB]]</f>
        <v>2.7940860000000001</v>
      </c>
    </row>
    <row r="58" spans="1:21" x14ac:dyDescent="0.25">
      <c r="A58" s="1">
        <v>42842</v>
      </c>
      <c r="B58" t="s">
        <v>11</v>
      </c>
      <c r="C58" t="s">
        <v>18</v>
      </c>
      <c r="D58" s="50" t="s">
        <v>69</v>
      </c>
      <c r="E58">
        <v>7200</v>
      </c>
      <c r="F58" s="5">
        <v>4</v>
      </c>
      <c r="G58" s="2">
        <f>(Table5[[#This Row],[RPM]]/5400-1)</f>
        <v>0.33333333333333326</v>
      </c>
      <c r="H58">
        <v>5</v>
      </c>
      <c r="I58" s="24">
        <f>12*2</f>
        <v>24</v>
      </c>
      <c r="J58" s="6">
        <v>6.7</v>
      </c>
      <c r="K58" s="6">
        <v>6</v>
      </c>
      <c r="L58" s="6">
        <v>0.6</v>
      </c>
      <c r="M58" s="16">
        <v>209.99</v>
      </c>
      <c r="N58" s="13">
        <f>Table5[[#This Row],[Cost]]/Table5[[#This Row],[SizTB]]</f>
        <v>52.497500000000002</v>
      </c>
      <c r="O58" s="14">
        <f>Table5[[#This Row],[Cost]]+((CompareWarrYrs-Table5[[#This Row],[Warnty]])*(Incremental_Warr_Yr*Table5[[#This Row],[Cost]]))</f>
        <v>209.99</v>
      </c>
      <c r="P58" s="7">
        <f>Table5[[#This Row],[$+Warr]]/Table5[[#This Row],[SizTB]]</f>
        <v>52.497500000000002</v>
      </c>
      <c r="Q58" s="13">
        <f>Table5[[#This Row],[$PerTB]]/CompareWarrYrs</f>
        <v>10.499500000000001</v>
      </c>
      <c r="R58" s="8"/>
      <c r="S58" s="54">
        <f>(((Table5[[#This Row],[Watts Active]]*Power_On_Hours_Year/1000)*Active_Duty_Cycle)+((Table5[[#This Row],[Watts Idle]]*Power_On_Hours_Year/1000)*(100%-Active_Duty_Cycle)))*CostPerKWH</f>
        <v>6.7277208000000002</v>
      </c>
      <c r="T58" s="57">
        <f>Table5[[#This Row],[Energy$year]]/Table5[[#This Row],[SizTB]]</f>
        <v>1.6819302</v>
      </c>
    </row>
    <row r="59" spans="1:21" x14ac:dyDescent="0.25">
      <c r="A59" s="1">
        <v>42842</v>
      </c>
      <c r="B59" t="s">
        <v>11</v>
      </c>
      <c r="C59" t="s">
        <v>18</v>
      </c>
      <c r="D59" s="50" t="s">
        <v>69</v>
      </c>
      <c r="E59">
        <v>7200</v>
      </c>
      <c r="F59" s="5">
        <v>6</v>
      </c>
      <c r="G59" s="2">
        <f>(Table5[[#This Row],[RPM]]/5400-1)</f>
        <v>0.33333333333333326</v>
      </c>
      <c r="H59">
        <v>5</v>
      </c>
      <c r="I59" s="24">
        <f>12*2</f>
        <v>24</v>
      </c>
      <c r="J59" s="6">
        <v>9</v>
      </c>
      <c r="K59" s="6">
        <v>7.6</v>
      </c>
      <c r="L59" s="6">
        <v>0.6</v>
      </c>
      <c r="M59" s="16">
        <v>249.99</v>
      </c>
      <c r="N59" s="13">
        <f>Table5[[#This Row],[Cost]]/Table5[[#This Row],[SizTB]]</f>
        <v>41.664999999999999</v>
      </c>
      <c r="O59" s="14">
        <f>Table5[[#This Row],[Cost]]+((CompareWarrYrs-Table5[[#This Row],[Warnty]])*(Incremental_Warr_Yr*Table5[[#This Row],[Cost]]))</f>
        <v>249.99</v>
      </c>
      <c r="P59" s="7">
        <f>Table5[[#This Row],[$+Warr]]/Table5[[#This Row],[SizTB]]</f>
        <v>41.664999999999999</v>
      </c>
      <c r="Q59" s="13">
        <f>Table5[[#This Row],[$PerTB]]/CompareWarrYrs</f>
        <v>8.3330000000000002</v>
      </c>
      <c r="R59" s="8"/>
      <c r="S59" s="54">
        <f>(((Table5[[#This Row],[Watts Active]]*Power_On_Hours_Year/1000)*Active_Duty_Cycle)+((Table5[[#This Row],[Watts Idle]]*Power_On_Hours_Year/1000)*(100%-Active_Duty_Cycle)))*CostPerKWH</f>
        <v>8.6342736000000002</v>
      </c>
      <c r="T59" s="57">
        <f>Table5[[#This Row],[Energy$year]]/Table5[[#This Row],[SizTB]]</f>
        <v>1.4390456</v>
      </c>
    </row>
    <row r="60" spans="1:21" x14ac:dyDescent="0.25">
      <c r="A60" s="1">
        <v>42893</v>
      </c>
      <c r="B60" t="s">
        <v>11</v>
      </c>
      <c r="C60" t="s">
        <v>18</v>
      </c>
      <c r="D60" s="50" t="s">
        <v>69</v>
      </c>
      <c r="E60">
        <v>7200</v>
      </c>
      <c r="F60" s="5">
        <v>8</v>
      </c>
      <c r="G60" s="2">
        <f>(Table5[[#This Row],[RPM]]/5400-1)</f>
        <v>0.33333333333333326</v>
      </c>
      <c r="H60">
        <v>5</v>
      </c>
      <c r="I60" s="24">
        <f>12*2</f>
        <v>24</v>
      </c>
      <c r="J60" s="6">
        <v>9</v>
      </c>
      <c r="K60" s="6">
        <v>7.6</v>
      </c>
      <c r="L60" s="6">
        <v>0.6</v>
      </c>
      <c r="M60" s="16">
        <v>299.99</v>
      </c>
      <c r="N60" s="13">
        <f>Table5[[#This Row],[Cost]]/Table5[[#This Row],[SizTB]]</f>
        <v>37.498750000000001</v>
      </c>
      <c r="O60" s="14">
        <f>Table5[[#This Row],[Cost]]+((CompareWarrYrs-Table5[[#This Row],[Warnty]])*(Incremental_Warr_Yr*Table5[[#This Row],[Cost]]))</f>
        <v>299.99</v>
      </c>
      <c r="P60" s="7">
        <f>Table5[[#This Row],[$+Warr]]/Table5[[#This Row],[SizTB]]</f>
        <v>37.498750000000001</v>
      </c>
      <c r="Q60" s="13">
        <f>Table5[[#This Row],[$PerTB]]/CompareWarrYrs</f>
        <v>7.4997500000000006</v>
      </c>
      <c r="R60" s="8"/>
      <c r="S60" s="54">
        <f>(((Table5[[#This Row],[Watts Active]]*Power_On_Hours_Year/1000)*Active_Duty_Cycle)+((Table5[[#This Row],[Watts Idle]]*Power_On_Hours_Year/1000)*(100%-Active_Duty_Cycle)))*CostPerKWH</f>
        <v>8.6342736000000002</v>
      </c>
      <c r="T60" s="57">
        <f>Table5[[#This Row],[Energy$year]]/Table5[[#This Row],[SizTB]]</f>
        <v>1.0792842</v>
      </c>
    </row>
    <row r="61" spans="1:21" x14ac:dyDescent="0.25">
      <c r="A61" s="1">
        <v>42842</v>
      </c>
      <c r="B61" t="s">
        <v>11</v>
      </c>
      <c r="C61" t="s">
        <v>18</v>
      </c>
      <c r="D61" s="50" t="s">
        <v>69</v>
      </c>
      <c r="E61">
        <v>7200</v>
      </c>
      <c r="F61" s="5">
        <v>10</v>
      </c>
      <c r="G61" s="2">
        <f>(Table5[[#This Row],[RPM]]/5400-1)</f>
        <v>0.33333333333333326</v>
      </c>
      <c r="H61">
        <v>5</v>
      </c>
      <c r="I61" s="24">
        <f>12*2</f>
        <v>24</v>
      </c>
      <c r="J61" s="6">
        <v>6.8</v>
      </c>
      <c r="K61" s="6">
        <v>4.4000000000000004</v>
      </c>
      <c r="L61" s="6">
        <v>0.8</v>
      </c>
      <c r="M61" s="16">
        <v>426.98</v>
      </c>
      <c r="N61" s="13">
        <f>Table5[[#This Row],[Cost]]/Table5[[#This Row],[SizTB]]</f>
        <v>42.698</v>
      </c>
      <c r="O61" s="14">
        <f>Table5[[#This Row],[Cost]]+((CompareWarrYrs-Table5[[#This Row],[Warnty]])*(Incremental_Warr_Yr*Table5[[#This Row],[Cost]]))</f>
        <v>426.98</v>
      </c>
      <c r="P61" s="7">
        <f>Table5[[#This Row],[$+Warr]]/Table5[[#This Row],[SizTB]]</f>
        <v>42.698</v>
      </c>
      <c r="Q61" s="13">
        <f>Table5[[#This Row],[$PerTB]]/CompareWarrYrs</f>
        <v>8.5396000000000001</v>
      </c>
      <c r="R61" s="8"/>
      <c r="S61" s="54">
        <f>(((Table5[[#This Row],[Watts Active]]*Power_On_Hours_Year/1000)*Active_Duty_Cycle)+((Table5[[#This Row],[Watts Idle]]*Power_On_Hours_Year/1000)*(100%-Active_Duty_Cycle)))*CostPerKWH</f>
        <v>5.347113600000001</v>
      </c>
      <c r="T61" s="57">
        <f>Table5[[#This Row],[Energy$year]]/Table5[[#This Row],[SizTB]]</f>
        <v>0.53471136000000008</v>
      </c>
    </row>
    <row r="62" spans="1:21" x14ac:dyDescent="0.25">
      <c r="A62" s="1">
        <v>42894</v>
      </c>
      <c r="B62" t="s">
        <v>11</v>
      </c>
      <c r="C62" t="s">
        <v>15</v>
      </c>
      <c r="D62" s="50"/>
      <c r="E62">
        <v>5900</v>
      </c>
      <c r="F62" s="5">
        <v>4</v>
      </c>
      <c r="G62" s="2">
        <f>(Table5[[#This Row],[RPM]]/5400-1)</f>
        <v>9.259259259259256E-2</v>
      </c>
      <c r="H62">
        <v>3</v>
      </c>
      <c r="I62" s="24">
        <v>24</v>
      </c>
      <c r="J62" s="6">
        <v>6.49</v>
      </c>
      <c r="K62" s="6">
        <v>4.59</v>
      </c>
      <c r="L62" s="6">
        <v>0.77</v>
      </c>
      <c r="M62" s="16">
        <v>189.99</v>
      </c>
      <c r="N62" s="13">
        <f>Table5[[#This Row],[Cost]]/Table5[[#This Row],[SizTB]]</f>
        <v>47.497500000000002</v>
      </c>
      <c r="O62" s="14">
        <f>Table5[[#This Row],[Cost]]+((CompareWarrYrs-Table5[[#This Row],[Warnty]])*(Incremental_Warr_Yr*Table5[[#This Row],[Cost]]))</f>
        <v>231.7878</v>
      </c>
      <c r="P62" s="7">
        <f>Table5[[#This Row],[$+Warr]]/Table5[[#This Row],[SizTB]]</f>
        <v>57.946950000000001</v>
      </c>
      <c r="Q62" s="13">
        <f>Table5[[#This Row],[$PerTB]]/CompareWarrYrs</f>
        <v>11.58939</v>
      </c>
      <c r="R62" s="8"/>
      <c r="S62" s="54">
        <f>(((Table5[[#This Row],[Watts Active]]*Power_On_Hours_Year/1000)*Active_Duty_Cycle)+((Table5[[#This Row],[Watts Idle]]*Power_On_Hours_Year/1000)*(100%-Active_Duty_Cycle)))*CostPerKWH</f>
        <v>5.4457284000000001</v>
      </c>
      <c r="T62" s="57">
        <f>Table5[[#This Row],[Energy$year]]/Table5[[#This Row],[SizTB]]</f>
        <v>1.3614321</v>
      </c>
    </row>
    <row r="63" spans="1:21" x14ac:dyDescent="0.25">
      <c r="A63" s="1">
        <v>42894</v>
      </c>
      <c r="B63" t="s">
        <v>55</v>
      </c>
      <c r="C63" t="s">
        <v>56</v>
      </c>
      <c r="D63" s="50" t="s">
        <v>69</v>
      </c>
      <c r="E63">
        <v>7200</v>
      </c>
      <c r="F63" s="5">
        <v>4</v>
      </c>
      <c r="G63" s="2">
        <f>(Table5[[#This Row],[RPM]]/5400-1)</f>
        <v>0.33333333333333326</v>
      </c>
      <c r="H63">
        <v>3</v>
      </c>
      <c r="I63" s="24"/>
      <c r="J63" s="6">
        <v>9.6</v>
      </c>
      <c r="K63" s="6">
        <v>5.2</v>
      </c>
      <c r="L63" s="6"/>
      <c r="M63" s="16">
        <v>139.99</v>
      </c>
      <c r="N63" s="13">
        <f>Table5[[#This Row],[Cost]]/Table5[[#This Row],[SizTB]]</f>
        <v>34.997500000000002</v>
      </c>
      <c r="O63" s="14">
        <f>Table5[[#This Row],[Cost]]+((CompareWarrYrs-Table5[[#This Row],[Warnty]])*(Incremental_Warr_Yr*Table5[[#This Row],[Cost]]))</f>
        <v>170.7878</v>
      </c>
      <c r="P63" s="7">
        <f>Table5[[#This Row],[$+Warr]]/Table5[[#This Row],[SizTB]]</f>
        <v>42.696950000000001</v>
      </c>
      <c r="Q63" s="13">
        <f>Table5[[#This Row],[$PerTB]]/CompareWarrYrs</f>
        <v>8.5393900000000009</v>
      </c>
      <c r="R63" s="25"/>
      <c r="S63" s="54">
        <f>(((Table5[[#This Row],[Watts Active]]*Power_On_Hours_Year/1000)*Active_Duty_Cycle)+((Table5[[#This Row],[Watts Idle]]*Power_On_Hours_Year/1000)*(100%-Active_Duty_Cycle)))*CostPerKWH</f>
        <v>6.6619776000000011</v>
      </c>
      <c r="T63" s="57">
        <f>Table5[[#This Row],[Energy$year]]/Table5[[#This Row],[SizTB]]</f>
        <v>1.6654944000000003</v>
      </c>
    </row>
    <row r="64" spans="1:21" x14ac:dyDescent="0.25">
      <c r="A64" s="1">
        <v>42894</v>
      </c>
      <c r="B64" t="s">
        <v>55</v>
      </c>
      <c r="C64" t="s">
        <v>56</v>
      </c>
      <c r="D64" s="50" t="s">
        <v>69</v>
      </c>
      <c r="E64">
        <v>7200</v>
      </c>
      <c r="F64" s="5">
        <v>6</v>
      </c>
      <c r="G64" s="2">
        <f>(Table5[[#This Row],[RPM]]/5400-1)</f>
        <v>0.33333333333333326</v>
      </c>
      <c r="H64">
        <v>3</v>
      </c>
      <c r="I64" s="24"/>
      <c r="J64" s="6">
        <v>10.1</v>
      </c>
      <c r="K64" s="6">
        <v>6.7</v>
      </c>
      <c r="L64" s="6"/>
      <c r="M64" s="16">
        <v>214.99</v>
      </c>
      <c r="N64" s="13">
        <f>Table5[[#This Row],[Cost]]/Table5[[#This Row],[SizTB]]</f>
        <v>35.831666666666671</v>
      </c>
      <c r="O64" s="14">
        <f>Table5[[#This Row],[Cost]]+((CompareWarrYrs-Table5[[#This Row],[Warnty]])*(Incremental_Warr_Yr*Table5[[#This Row],[Cost]]))</f>
        <v>262.2878</v>
      </c>
      <c r="P64" s="7">
        <f>Table5[[#This Row],[$+Warr]]/Table5[[#This Row],[SizTB]]</f>
        <v>43.714633333333332</v>
      </c>
      <c r="Q64" s="13">
        <f>Table5[[#This Row],[$PerTB]]/CompareWarrYrs</f>
        <v>8.7429266666666656</v>
      </c>
      <c r="R64" s="25"/>
      <c r="S64" s="54">
        <f>(((Table5[[#This Row],[Watts Active]]*Power_On_Hours_Year/1000)*Active_Duty_Cycle)+((Table5[[#This Row],[Watts Idle]]*Power_On_Hours_Year/1000)*(100%-Active_Duty_Cycle)))*CostPerKWH</f>
        <v>8.0864136000000002</v>
      </c>
      <c r="T64" s="57">
        <f>Table5[[#This Row],[Energy$year]]/Table5[[#This Row],[SizTB]]</f>
        <v>1.3477356</v>
      </c>
    </row>
    <row r="65" spans="1:20" x14ac:dyDescent="0.25">
      <c r="A65" s="1">
        <v>42894</v>
      </c>
      <c r="B65" t="s">
        <v>55</v>
      </c>
      <c r="C65" t="s">
        <v>56</v>
      </c>
      <c r="D65" s="50" t="s">
        <v>69</v>
      </c>
      <c r="E65">
        <v>7200</v>
      </c>
      <c r="F65" s="5">
        <v>8</v>
      </c>
      <c r="G65" s="2">
        <f>(Table5[[#This Row],[RPM]]/5400-1)</f>
        <v>0.33333333333333326</v>
      </c>
      <c r="H65">
        <v>3</v>
      </c>
      <c r="I65" s="24"/>
      <c r="J65" s="6">
        <v>9.1999999999999993</v>
      </c>
      <c r="K65" s="6">
        <v>6.2</v>
      </c>
      <c r="L65" s="6"/>
      <c r="M65" s="16">
        <v>249.99</v>
      </c>
      <c r="N65" s="13">
        <f>Table5[[#This Row],[Cost]]/Table5[[#This Row],[SizTB]]</f>
        <v>31.248750000000001</v>
      </c>
      <c r="O65" s="14">
        <f>Table5[[#This Row],[Cost]]+((CompareWarrYrs-Table5[[#This Row],[Warnty]])*(Incremental_Warr_Yr*Table5[[#This Row],[Cost]]))</f>
        <v>304.98779999999999</v>
      </c>
      <c r="P65" s="7">
        <f>Table5[[#This Row],[$+Warr]]/Table5[[#This Row],[SizTB]]</f>
        <v>38.123474999999999</v>
      </c>
      <c r="Q65" s="13">
        <f>Table5[[#This Row],[$PerTB]]/CompareWarrYrs</f>
        <v>7.624695</v>
      </c>
      <c r="R65" s="25"/>
      <c r="S65" s="54">
        <f>(((Table5[[#This Row],[Watts Active]]*Power_On_Hours_Year/1000)*Active_Duty_Cycle)+((Table5[[#This Row],[Watts Idle]]*Power_On_Hours_Year/1000)*(100%-Active_Duty_Cycle)))*CostPerKWH</f>
        <v>7.4508960000000002</v>
      </c>
      <c r="T65" s="57">
        <f>Table5[[#This Row],[Energy$year]]/Table5[[#This Row],[SizTB]]</f>
        <v>0.93136200000000002</v>
      </c>
    </row>
    <row r="66" spans="1:20" x14ac:dyDescent="0.25">
      <c r="A66" s="1">
        <v>42956</v>
      </c>
      <c r="B66" t="s">
        <v>55</v>
      </c>
      <c r="C66" t="s">
        <v>75</v>
      </c>
      <c r="D66" s="50"/>
      <c r="E66">
        <v>7200</v>
      </c>
      <c r="F66" s="5">
        <v>1</v>
      </c>
      <c r="G66" s="2">
        <f>(Table5[[#This Row],[RPM]]/5400-1)</f>
        <v>0.33333333333333326</v>
      </c>
      <c r="H66">
        <v>1</v>
      </c>
      <c r="I66" s="24"/>
      <c r="J66" s="6"/>
      <c r="K66" s="6"/>
      <c r="L66" s="6"/>
      <c r="M66" s="16">
        <v>50.14</v>
      </c>
      <c r="N66" s="13">
        <f>Table5[[#This Row],[Cost]]/Table5[[#This Row],[SizTB]]</f>
        <v>50.14</v>
      </c>
      <c r="O66" s="14">
        <f>Table5[[#This Row],[Cost]]+((CompareWarrYrs-Table5[[#This Row],[Warnty]])*(Incremental_Warr_Yr*Table5[[#This Row],[Cost]]))</f>
        <v>72.201599999999999</v>
      </c>
      <c r="P66" s="7">
        <f>Table5[[#This Row],[$+Warr]]/Table5[[#This Row],[SizTB]]</f>
        <v>72.201599999999999</v>
      </c>
      <c r="Q66" s="13">
        <f>Table5[[#This Row],[$PerTB]]/CompareWarrYrs</f>
        <v>14.44032</v>
      </c>
      <c r="R66" s="25"/>
      <c r="S66" s="54"/>
      <c r="T66" s="57"/>
    </row>
    <row r="67" spans="1:20" x14ac:dyDescent="0.25">
      <c r="A67" s="1">
        <v>42956</v>
      </c>
      <c r="B67" t="s">
        <v>55</v>
      </c>
      <c r="C67" t="s">
        <v>75</v>
      </c>
      <c r="D67" s="50"/>
      <c r="E67">
        <v>7200</v>
      </c>
      <c r="F67" s="5">
        <v>2</v>
      </c>
      <c r="G67" s="2">
        <f>(Table5[[#This Row],[RPM]]/5400-1)</f>
        <v>0.33333333333333326</v>
      </c>
      <c r="H67">
        <v>2</v>
      </c>
      <c r="I67" s="24"/>
      <c r="J67" s="6"/>
      <c r="K67" s="6"/>
      <c r="L67" s="6"/>
      <c r="M67" s="16">
        <v>64.989999999999995</v>
      </c>
      <c r="N67" s="13">
        <f>Table5[[#This Row],[Cost]]/Table5[[#This Row],[SizTB]]</f>
        <v>32.494999999999997</v>
      </c>
      <c r="O67" s="14">
        <f>Table5[[#This Row],[Cost]]+((CompareWarrYrs-Table5[[#This Row],[Warnty]])*(Incremental_Warr_Yr*Table5[[#This Row],[Cost]]))</f>
        <v>86.436700000000002</v>
      </c>
      <c r="P67" s="7">
        <f>Table5[[#This Row],[$+Warr]]/Table5[[#This Row],[SizTB]]</f>
        <v>43.218350000000001</v>
      </c>
      <c r="Q67" s="13">
        <f>Table5[[#This Row],[$PerTB]]/CompareWarrYrs</f>
        <v>8.6436700000000002</v>
      </c>
      <c r="R67" s="25"/>
      <c r="S67" s="54"/>
      <c r="T67" s="57"/>
    </row>
    <row r="68" spans="1:20" x14ac:dyDescent="0.25">
      <c r="A68" s="1">
        <v>42956</v>
      </c>
      <c r="B68" t="s">
        <v>55</v>
      </c>
      <c r="C68" t="s">
        <v>75</v>
      </c>
      <c r="D68" s="50"/>
      <c r="E68">
        <v>7200</v>
      </c>
      <c r="F68" s="5">
        <v>3</v>
      </c>
      <c r="G68" s="2">
        <f>(Table5[[#This Row],[RPM]]/5400-1)</f>
        <v>0.33333333333333326</v>
      </c>
      <c r="H68">
        <v>2</v>
      </c>
      <c r="I68" s="24"/>
      <c r="J68" s="6"/>
      <c r="K68" s="6"/>
      <c r="L68" s="6"/>
      <c r="M68" s="16">
        <v>78.989999999999995</v>
      </c>
      <c r="N68" s="13">
        <f>Table5[[#This Row],[Cost]]/Table5[[#This Row],[SizTB]]</f>
        <v>26.33</v>
      </c>
      <c r="O68" s="14">
        <f>Table5[[#This Row],[Cost]]+((CompareWarrYrs-Table5[[#This Row],[Warnty]])*(Incremental_Warr_Yr*Table5[[#This Row],[Cost]]))</f>
        <v>105.05669999999999</v>
      </c>
      <c r="P68" s="7">
        <f>Table5[[#This Row],[$+Warr]]/Table5[[#This Row],[SizTB]]</f>
        <v>35.018899999999995</v>
      </c>
      <c r="Q68" s="13">
        <f>Table5[[#This Row],[$PerTB]]/CompareWarrYrs</f>
        <v>7.003779999999999</v>
      </c>
      <c r="R68" s="25"/>
      <c r="S68" s="54"/>
      <c r="T68" s="57"/>
    </row>
    <row r="69" spans="1:20" x14ac:dyDescent="0.25">
      <c r="A69" s="1">
        <v>42956</v>
      </c>
      <c r="B69" t="s">
        <v>55</v>
      </c>
      <c r="C69" t="s">
        <v>75</v>
      </c>
      <c r="D69" s="50"/>
      <c r="E69">
        <v>7200</v>
      </c>
      <c r="F69" s="5">
        <v>4</v>
      </c>
      <c r="G69" s="2">
        <f>(Table5[[#This Row],[RPM]]/5400-1)</f>
        <v>0.33333333333333326</v>
      </c>
      <c r="H69">
        <v>2</v>
      </c>
      <c r="I69" s="24"/>
      <c r="J69" s="6"/>
      <c r="K69" s="6"/>
      <c r="L69" s="6"/>
      <c r="M69" s="16">
        <v>114.99</v>
      </c>
      <c r="N69" s="13">
        <f>Table5[[#This Row],[Cost]]/Table5[[#This Row],[SizTB]]</f>
        <v>28.747499999999999</v>
      </c>
      <c r="O69" s="14">
        <f>Table5[[#This Row],[Cost]]+((CompareWarrYrs-Table5[[#This Row],[Warnty]])*(Incremental_Warr_Yr*Table5[[#This Row],[Cost]]))</f>
        <v>152.9367</v>
      </c>
      <c r="P69" s="7">
        <f>Table5[[#This Row],[$+Warr]]/Table5[[#This Row],[SizTB]]</f>
        <v>38.234175</v>
      </c>
      <c r="Q69" s="13">
        <f>Table5[[#This Row],[$PerTB]]/CompareWarrYrs</f>
        <v>7.6468350000000003</v>
      </c>
      <c r="R69" s="25"/>
      <c r="S69" s="54"/>
      <c r="T69" s="57"/>
    </row>
    <row r="70" spans="1:20" x14ac:dyDescent="0.25">
      <c r="A70" s="1">
        <v>42956</v>
      </c>
      <c r="B70" t="s">
        <v>55</v>
      </c>
      <c r="C70" t="s">
        <v>75</v>
      </c>
      <c r="D70" s="50"/>
      <c r="E70">
        <v>7200</v>
      </c>
      <c r="F70" s="5">
        <v>5</v>
      </c>
      <c r="G70" s="2">
        <f>(Table5[[#This Row],[RPM]]/5400-1)</f>
        <v>0.33333333333333326</v>
      </c>
      <c r="H70">
        <v>2</v>
      </c>
      <c r="I70" s="24"/>
      <c r="J70" s="6"/>
      <c r="K70" s="6"/>
      <c r="L70" s="6"/>
      <c r="M70" s="16">
        <v>159.99</v>
      </c>
      <c r="N70" s="13">
        <f>Table5[[#This Row],[Cost]]/Table5[[#This Row],[SizTB]]</f>
        <v>31.998000000000001</v>
      </c>
      <c r="O70" s="14">
        <f>Table5[[#This Row],[Cost]]+((CompareWarrYrs-Table5[[#This Row],[Warnty]])*(Incremental_Warr_Yr*Table5[[#This Row],[Cost]]))</f>
        <v>212.7867</v>
      </c>
      <c r="P70" s="7">
        <f>Table5[[#This Row],[$+Warr]]/Table5[[#This Row],[SizTB]]</f>
        <v>42.557339999999996</v>
      </c>
      <c r="Q70" s="13">
        <f>Table5[[#This Row],[$PerTB]]/CompareWarrYrs</f>
        <v>8.5114679999999989</v>
      </c>
      <c r="R70" s="25"/>
      <c r="S70" s="54"/>
      <c r="T70" s="57"/>
    </row>
    <row r="71" spans="1:20" x14ac:dyDescent="0.25">
      <c r="A71" s="1">
        <v>42956</v>
      </c>
      <c r="B71" t="s">
        <v>55</v>
      </c>
      <c r="C71" t="s">
        <v>75</v>
      </c>
      <c r="D71" s="50"/>
      <c r="E71">
        <v>7200</v>
      </c>
      <c r="F71" s="5">
        <v>6</v>
      </c>
      <c r="G71" s="2">
        <f>(Table5[[#This Row],[RPM]]/5400-1)</f>
        <v>0.33333333333333326</v>
      </c>
      <c r="H71">
        <v>2</v>
      </c>
      <c r="I71" s="24"/>
      <c r="J71" s="6"/>
      <c r="K71" s="6"/>
      <c r="L71" s="6"/>
      <c r="M71" s="16">
        <v>139.99</v>
      </c>
      <c r="N71" s="13">
        <f>Table5[[#This Row],[Cost]]/Table5[[#This Row],[SizTB]]</f>
        <v>23.331666666666667</v>
      </c>
      <c r="O71" s="14">
        <f>Table5[[#This Row],[Cost]]+((CompareWarrYrs-Table5[[#This Row],[Warnty]])*(Incremental_Warr_Yr*Table5[[#This Row],[Cost]]))</f>
        <v>186.18670000000003</v>
      </c>
      <c r="P71" s="7">
        <f>Table5[[#This Row],[$+Warr]]/Table5[[#This Row],[SizTB]]</f>
        <v>31.031116666666673</v>
      </c>
      <c r="Q71" s="13">
        <f>Table5[[#This Row],[$PerTB]]/CompareWarrYrs</f>
        <v>6.2062233333333348</v>
      </c>
      <c r="R71" s="25"/>
      <c r="S71" s="54"/>
      <c r="T71" s="57"/>
    </row>
    <row r="72" spans="1:20" x14ac:dyDescent="0.25">
      <c r="A72" s="1">
        <v>42944</v>
      </c>
      <c r="B72" t="s">
        <v>6</v>
      </c>
      <c r="C72" t="s">
        <v>5</v>
      </c>
      <c r="D72" s="50"/>
      <c r="E72">
        <v>7200</v>
      </c>
      <c r="F72" s="5">
        <v>1</v>
      </c>
      <c r="G72" s="2">
        <f>(Table5[[#This Row],[RPM]]/5400-1)</f>
        <v>0.33333333333333326</v>
      </c>
      <c r="H72">
        <v>5</v>
      </c>
      <c r="I72" s="24"/>
      <c r="J72" s="6">
        <v>6.8</v>
      </c>
      <c r="K72" s="6">
        <v>6.1</v>
      </c>
      <c r="L72" s="6">
        <v>0.8</v>
      </c>
      <c r="M72" s="16">
        <v>69.989999999999995</v>
      </c>
      <c r="N72" s="13">
        <f>Table5[[#This Row],[Cost]]/Table5[[#This Row],[SizTB]]</f>
        <v>69.989999999999995</v>
      </c>
      <c r="O72" s="14">
        <f>Table5[[#This Row],[Cost]]+((CompareWarrYrs-Table5[[#This Row],[Warnty]])*(Incremental_Warr_Yr*Table5[[#This Row],[Cost]]))</f>
        <v>69.989999999999995</v>
      </c>
      <c r="P72" s="7">
        <f>Table5[[#This Row],[$+Warr]]/Table5[[#This Row],[SizTB]]</f>
        <v>69.989999999999995</v>
      </c>
      <c r="Q72" s="13">
        <f>Table5[[#This Row],[$PerTB]]/CompareWarrYrs</f>
        <v>13.997999999999999</v>
      </c>
      <c r="R72" s="8"/>
      <c r="S72" s="54">
        <f>(((Table5[[#This Row],[Watts Active]]*Power_On_Hours_Year/1000)*Active_Duty_Cycle)+((Table5[[#This Row],[Watts Idle]]*Power_On_Hours_Year/1000)*(100%-Active_Duty_Cycle)))*CostPerKWH</f>
        <v>6.8372928000000002</v>
      </c>
      <c r="T72" s="55">
        <f>Table5[[#This Row],[Energy$year]]/Table5[[#This Row],[SizTB]]</f>
        <v>6.8372928000000002</v>
      </c>
    </row>
    <row r="73" spans="1:20" x14ac:dyDescent="0.25">
      <c r="A73" s="1">
        <v>42957</v>
      </c>
      <c r="B73" t="s">
        <v>6</v>
      </c>
      <c r="C73" t="s">
        <v>5</v>
      </c>
      <c r="D73" s="50"/>
      <c r="E73">
        <v>7200</v>
      </c>
      <c r="F73" s="5">
        <v>2</v>
      </c>
      <c r="G73" s="2">
        <f>(Table5[[#This Row],[RPM]]/5400-1)</f>
        <v>0.33333333333333326</v>
      </c>
      <c r="H73">
        <v>5</v>
      </c>
      <c r="I73" s="24"/>
      <c r="J73" s="6">
        <v>9.5</v>
      </c>
      <c r="K73" s="6">
        <v>8.1</v>
      </c>
      <c r="L73" s="6">
        <v>1.3</v>
      </c>
      <c r="M73" s="16">
        <v>114.99</v>
      </c>
      <c r="N73" s="13">
        <f>Table5[[#This Row],[Cost]]/Table5[[#This Row],[SizTB]]</f>
        <v>57.494999999999997</v>
      </c>
      <c r="O73" s="14">
        <f>Table5[[#This Row],[Cost]]+((CompareWarrYrs-Table5[[#This Row],[Warnty]])*(Incremental_Warr_Yr*Table5[[#This Row],[Cost]]))</f>
        <v>114.99</v>
      </c>
      <c r="P73" s="7">
        <f>Table5[[#This Row],[$+Warr]]/Table5[[#This Row],[SizTB]]</f>
        <v>57.494999999999997</v>
      </c>
      <c r="Q73" s="13">
        <f>Table5[[#This Row],[$PerTB]]/CompareWarrYrs</f>
        <v>11.498999999999999</v>
      </c>
      <c r="R73" s="8"/>
      <c r="S73" s="54">
        <f>(((Table5[[#This Row],[Watts Active]]*Power_On_Hours_Year/1000)*Active_Duty_Cycle)+((Table5[[#This Row],[Watts Idle]]*Power_On_Hours_Year/1000)*(100%-Active_Duty_Cycle)))*CostPerKWH</f>
        <v>9.1821336000000002</v>
      </c>
      <c r="T73" s="55">
        <f>Table5[[#This Row],[Energy$year]]/Table5[[#This Row],[SizTB]]</f>
        <v>4.5910668000000001</v>
      </c>
    </row>
    <row r="74" spans="1:20" x14ac:dyDescent="0.25">
      <c r="A74" s="1">
        <v>42959</v>
      </c>
      <c r="B74" t="s">
        <v>6</v>
      </c>
      <c r="C74" t="s">
        <v>5</v>
      </c>
      <c r="D74" s="50"/>
      <c r="E74">
        <v>7200</v>
      </c>
      <c r="F74" s="5">
        <v>4</v>
      </c>
      <c r="G74" s="2">
        <f>(Table5[[#This Row],[RPM]]/5400-1)</f>
        <v>0.33333333333333326</v>
      </c>
      <c r="H74">
        <v>5</v>
      </c>
      <c r="I74" s="24"/>
      <c r="J74" s="6">
        <v>10.6</v>
      </c>
      <c r="K74" s="6">
        <v>7.6</v>
      </c>
      <c r="L74" s="6">
        <v>1.6</v>
      </c>
      <c r="M74" s="16">
        <v>179.99</v>
      </c>
      <c r="N74" s="13">
        <f>Table5[[#This Row],[Cost]]/Table5[[#This Row],[SizTB]]</f>
        <v>44.997500000000002</v>
      </c>
      <c r="O74" s="14">
        <f>Table5[[#This Row],[Cost]]+((CompareWarrYrs-Table5[[#This Row],[Warnty]])*(Incremental_Warr_Yr*Table5[[#This Row],[Cost]]))</f>
        <v>179.99</v>
      </c>
      <c r="P74" s="7">
        <f>Table5[[#This Row],[$+Warr]]/Table5[[#This Row],[SizTB]]</f>
        <v>44.997500000000002</v>
      </c>
      <c r="Q74" s="13">
        <f>Table5[[#This Row],[$PerTB]]/CompareWarrYrs</f>
        <v>8.9995000000000012</v>
      </c>
      <c r="R74" s="8"/>
      <c r="S74" s="54">
        <f>(((Table5[[#This Row],[Watts Active]]*Power_On_Hours_Year/1000)*Active_Duty_Cycle)+((Table5[[#This Row],[Watts Idle]]*Power_On_Hours_Year/1000)*(100%-Active_Duty_Cycle)))*CostPerKWH</f>
        <v>8.9849040000000002</v>
      </c>
      <c r="T74" s="55">
        <f>Table5[[#This Row],[Energy$year]]/Table5[[#This Row],[SizTB]]</f>
        <v>2.2462260000000001</v>
      </c>
    </row>
    <row r="75" spans="1:20" x14ac:dyDescent="0.25">
      <c r="A75" s="1">
        <v>42808</v>
      </c>
      <c r="B75" t="s">
        <v>6</v>
      </c>
      <c r="C75" t="s">
        <v>5</v>
      </c>
      <c r="D75" s="50"/>
      <c r="E75">
        <v>7200</v>
      </c>
      <c r="F75" s="5">
        <v>5</v>
      </c>
      <c r="G75" s="2">
        <f>(Table5[[#This Row],[RPM]]/5400-1)</f>
        <v>0.33333333333333326</v>
      </c>
      <c r="H75">
        <v>5</v>
      </c>
      <c r="I75" s="24"/>
      <c r="J75" s="6">
        <v>10.6</v>
      </c>
      <c r="K75" s="6">
        <v>7.6</v>
      </c>
      <c r="L75" s="6">
        <v>1.6</v>
      </c>
      <c r="M75" s="16">
        <v>219.99</v>
      </c>
      <c r="N75" s="13">
        <f>Table5[[#This Row],[Cost]]/Table5[[#This Row],[SizTB]]</f>
        <v>43.998000000000005</v>
      </c>
      <c r="O75" s="14">
        <f>Table5[[#This Row],[Cost]]+((CompareWarrYrs-Table5[[#This Row],[Warnty]])*(Incremental_Warr_Yr*Table5[[#This Row],[Cost]]))</f>
        <v>219.99</v>
      </c>
      <c r="P75" s="7">
        <f>Table5[[#This Row],[$+Warr]]/Table5[[#This Row],[SizTB]]</f>
        <v>43.998000000000005</v>
      </c>
      <c r="Q75" s="13">
        <f>Table5[[#This Row],[$PerTB]]/CompareWarrYrs</f>
        <v>8.7996000000000016</v>
      </c>
      <c r="R75" s="8"/>
      <c r="S75" s="54">
        <f>(((Table5[[#This Row],[Watts Active]]*Power_On_Hours_Year/1000)*Active_Duty_Cycle)+((Table5[[#This Row],[Watts Idle]]*Power_On_Hours_Year/1000)*(100%-Active_Duty_Cycle)))*CostPerKWH</f>
        <v>8.9849040000000002</v>
      </c>
      <c r="T75" s="55">
        <f>Table5[[#This Row],[Energy$year]]/Table5[[#This Row],[SizTB]]</f>
        <v>1.7969808</v>
      </c>
    </row>
    <row r="76" spans="1:20" x14ac:dyDescent="0.25">
      <c r="A76" s="1">
        <v>42833</v>
      </c>
      <c r="B76" t="s">
        <v>6</v>
      </c>
      <c r="C76" t="s">
        <v>5</v>
      </c>
      <c r="D76" s="50"/>
      <c r="E76">
        <v>7200</v>
      </c>
      <c r="F76" s="5">
        <v>6</v>
      </c>
      <c r="G76" s="2">
        <f>(Table5[[#This Row],[RPM]]/5400-1)</f>
        <v>0.33333333333333326</v>
      </c>
      <c r="H76">
        <v>5</v>
      </c>
      <c r="I76" s="24"/>
      <c r="J76" s="6">
        <v>10.6</v>
      </c>
      <c r="K76" s="6">
        <v>7.6</v>
      </c>
      <c r="L76" s="6">
        <v>1.6</v>
      </c>
      <c r="M76" s="16">
        <v>249.99</v>
      </c>
      <c r="N76" s="13">
        <f>Table5[[#This Row],[Cost]]/Table5[[#This Row],[SizTB]]</f>
        <v>41.664999999999999</v>
      </c>
      <c r="O76" s="14">
        <f>Table5[[#This Row],[Cost]]+((CompareWarrYrs-Table5[[#This Row],[Warnty]])*(Incremental_Warr_Yr*Table5[[#This Row],[Cost]]))</f>
        <v>249.99</v>
      </c>
      <c r="P76" s="7">
        <f>Table5[[#This Row],[$+Warr]]/Table5[[#This Row],[SizTB]]</f>
        <v>41.664999999999999</v>
      </c>
      <c r="Q76" s="13">
        <f>Table5[[#This Row],[$PerTB]]/CompareWarrYrs</f>
        <v>8.3330000000000002</v>
      </c>
      <c r="R76" s="8"/>
      <c r="S76" s="54">
        <f>(((Table5[[#This Row],[Watts Active]]*Power_On_Hours_Year/1000)*Active_Duty_Cycle)+((Table5[[#This Row],[Watts Idle]]*Power_On_Hours_Year/1000)*(100%-Active_Duty_Cycle)))*CostPerKWH</f>
        <v>8.9849040000000002</v>
      </c>
      <c r="T76" s="55">
        <f>Table5[[#This Row],[Energy$year]]/Table5[[#This Row],[SizTB]]</f>
        <v>1.497484</v>
      </c>
    </row>
    <row r="77" spans="1:20" x14ac:dyDescent="0.25">
      <c r="A77" s="1">
        <v>42833</v>
      </c>
      <c r="B77" t="s">
        <v>6</v>
      </c>
      <c r="C77" t="s">
        <v>5</v>
      </c>
      <c r="D77" s="50"/>
      <c r="E77">
        <v>7200</v>
      </c>
      <c r="F77" s="5">
        <v>8</v>
      </c>
      <c r="G77" s="2">
        <f>(Table5[[#This Row],[RPM]]/5400-1)</f>
        <v>0.33333333333333326</v>
      </c>
      <c r="H77">
        <v>5</v>
      </c>
      <c r="I77" s="24"/>
      <c r="J77" s="6">
        <v>10.6</v>
      </c>
      <c r="K77" s="6">
        <v>7.6</v>
      </c>
      <c r="L77" s="6">
        <v>1.6</v>
      </c>
      <c r="M77" s="16">
        <v>329.99</v>
      </c>
      <c r="N77" s="13">
        <f>Table5[[#This Row],[Cost]]/Table5[[#This Row],[SizTB]]</f>
        <v>41.248750000000001</v>
      </c>
      <c r="O77" s="14">
        <f>Table5[[#This Row],[Cost]]+((CompareWarrYrs-Table5[[#This Row],[Warnty]])*(Incremental_Warr_Yr*Table5[[#This Row],[Cost]]))</f>
        <v>329.99</v>
      </c>
      <c r="P77" s="7">
        <f>Table5[[#This Row],[$+Warr]]/Table5[[#This Row],[SizTB]]</f>
        <v>41.248750000000001</v>
      </c>
      <c r="Q77" s="13">
        <f>Table5[[#This Row],[$PerTB]]/CompareWarrYrs</f>
        <v>8.2497500000000006</v>
      </c>
      <c r="R77" s="8"/>
      <c r="S77" s="54">
        <f>(((Table5[[#This Row],[Watts Active]]*Power_On_Hours_Year/1000)*Active_Duty_Cycle)+((Table5[[#This Row],[Watts Idle]]*Power_On_Hours_Year/1000)*(100%-Active_Duty_Cycle)))*CostPerKWH</f>
        <v>8.9849040000000002</v>
      </c>
      <c r="T77" s="55">
        <f>Table5[[#This Row],[Energy$year]]/Table5[[#This Row],[SizTB]]</f>
        <v>1.123113</v>
      </c>
    </row>
    <row r="78" spans="1:20" x14ac:dyDescent="0.25">
      <c r="A78" s="1">
        <v>42829</v>
      </c>
      <c r="B78" t="s">
        <v>6</v>
      </c>
      <c r="C78" t="s">
        <v>35</v>
      </c>
      <c r="D78" s="50"/>
      <c r="E78">
        <v>5400</v>
      </c>
      <c r="F78" s="5">
        <v>1</v>
      </c>
      <c r="G78" s="2">
        <f>(Table5[[#This Row],[RPM]]/5400-1)</f>
        <v>0</v>
      </c>
      <c r="H78">
        <v>2</v>
      </c>
      <c r="I78" s="24"/>
      <c r="J78" s="6"/>
      <c r="K78" s="6"/>
      <c r="L78" s="6"/>
      <c r="M78" s="16">
        <v>49.99</v>
      </c>
      <c r="N78" s="13">
        <f>Table5[[#This Row],[Cost]]/Table5[[#This Row],[SizTB]]</f>
        <v>49.99</v>
      </c>
      <c r="O78" s="14">
        <f>Table5[[#This Row],[Cost]]+((CompareWarrYrs-Table5[[#This Row],[Warnty]])*(Incremental_Warr_Yr*Table5[[#This Row],[Cost]]))</f>
        <v>66.486699999999999</v>
      </c>
      <c r="P78" s="7">
        <f>Table5[[#This Row],[$+Warr]]/Table5[[#This Row],[SizTB]]</f>
        <v>66.486699999999999</v>
      </c>
      <c r="Q78" s="13">
        <f>Table5[[#This Row],[$PerTB]]/CompareWarrYrs</f>
        <v>13.29734</v>
      </c>
      <c r="R78" s="8"/>
      <c r="S78" s="54"/>
      <c r="T78" s="55"/>
    </row>
    <row r="79" spans="1:20" x14ac:dyDescent="0.25">
      <c r="A79" s="1">
        <v>42846</v>
      </c>
      <c r="B79" t="s">
        <v>6</v>
      </c>
      <c r="C79" t="s">
        <v>35</v>
      </c>
      <c r="D79" s="50"/>
      <c r="E79">
        <v>5400</v>
      </c>
      <c r="F79" s="5">
        <v>2</v>
      </c>
      <c r="G79" s="2">
        <f>(Table5[[#This Row],[RPM]]/5400-1)</f>
        <v>0</v>
      </c>
      <c r="H79">
        <v>2</v>
      </c>
      <c r="I79" s="24"/>
      <c r="J79" s="6"/>
      <c r="K79" s="6"/>
      <c r="L79" s="6"/>
      <c r="M79" s="16">
        <v>64.989999999999995</v>
      </c>
      <c r="N79" s="13">
        <f>Table5[[#This Row],[Cost]]/Table5[[#This Row],[SizTB]]</f>
        <v>32.494999999999997</v>
      </c>
      <c r="O79" s="14">
        <f>Table5[[#This Row],[Cost]]+((CompareWarrYrs-Table5[[#This Row],[Warnty]])*(Incremental_Warr_Yr*Table5[[#This Row],[Cost]]))</f>
        <v>86.436700000000002</v>
      </c>
      <c r="P79" s="7">
        <f>Table5[[#This Row],[$+Warr]]/Table5[[#This Row],[SizTB]]</f>
        <v>43.218350000000001</v>
      </c>
      <c r="Q79" s="13">
        <f>Table5[[#This Row],[$PerTB]]/CompareWarrYrs</f>
        <v>8.6436700000000002</v>
      </c>
      <c r="R79" s="8"/>
      <c r="S79" s="54"/>
      <c r="T79" s="55"/>
    </row>
    <row r="80" spans="1:20" x14ac:dyDescent="0.25">
      <c r="A80" s="1">
        <v>42948</v>
      </c>
      <c r="B80" t="s">
        <v>6</v>
      </c>
      <c r="C80" t="s">
        <v>35</v>
      </c>
      <c r="D80" s="50"/>
      <c r="E80">
        <v>5400</v>
      </c>
      <c r="F80" s="5">
        <v>3</v>
      </c>
      <c r="G80" s="2">
        <f>(Table5[[#This Row],[RPM]]/5400-1)</f>
        <v>0</v>
      </c>
      <c r="H80">
        <v>2</v>
      </c>
      <c r="I80" s="24"/>
      <c r="J80" s="6"/>
      <c r="K80" s="6"/>
      <c r="L80" s="6"/>
      <c r="M80" s="16">
        <v>79.989999999999995</v>
      </c>
      <c r="N80" s="13">
        <f>Table5[[#This Row],[Cost]]/Table5[[#This Row],[SizTB]]</f>
        <v>26.66333333333333</v>
      </c>
      <c r="O80" s="14">
        <f>Table5[[#This Row],[Cost]]+((CompareWarrYrs-Table5[[#This Row],[Warnty]])*(Incremental_Warr_Yr*Table5[[#This Row],[Cost]]))</f>
        <v>106.38669999999999</v>
      </c>
      <c r="P80" s="7">
        <f>Table5[[#This Row],[$+Warr]]/Table5[[#This Row],[SizTB]]</f>
        <v>35.46223333333333</v>
      </c>
      <c r="Q80" s="13">
        <f>Table5[[#This Row],[$PerTB]]/CompareWarrYrs</f>
        <v>7.0924466666666657</v>
      </c>
      <c r="R80" s="8"/>
      <c r="S80" s="54"/>
      <c r="T80" s="55"/>
    </row>
    <row r="81" spans="1:21" x14ac:dyDescent="0.25">
      <c r="A81" s="1">
        <v>42852</v>
      </c>
      <c r="B81" t="s">
        <v>6</v>
      </c>
      <c r="C81" t="s">
        <v>35</v>
      </c>
      <c r="D81" s="50"/>
      <c r="E81">
        <v>5400</v>
      </c>
      <c r="F81" s="5">
        <v>4</v>
      </c>
      <c r="G81" s="2">
        <f>(Table5[[#This Row],[RPM]]/5400-1)</f>
        <v>0</v>
      </c>
      <c r="H81">
        <v>2</v>
      </c>
      <c r="I81" s="24"/>
      <c r="J81" s="6"/>
      <c r="K81" s="6"/>
      <c r="L81" s="6"/>
      <c r="M81" s="16">
        <v>112.99</v>
      </c>
      <c r="N81" s="13">
        <f>Table5[[#This Row],[Cost]]/Table5[[#This Row],[SizTB]]</f>
        <v>28.247499999999999</v>
      </c>
      <c r="O81" s="14">
        <f>Table5[[#This Row],[Cost]]+((CompareWarrYrs-Table5[[#This Row],[Warnty]])*(Incremental_Warr_Yr*Table5[[#This Row],[Cost]]))</f>
        <v>150.27670000000001</v>
      </c>
      <c r="P81" s="7">
        <f>Table5[[#This Row],[$+Warr]]/Table5[[#This Row],[SizTB]]</f>
        <v>37.569175000000001</v>
      </c>
      <c r="Q81" s="13">
        <f>Table5[[#This Row],[$PerTB]]/CompareWarrYrs</f>
        <v>7.5138350000000003</v>
      </c>
      <c r="R81" s="8"/>
      <c r="S81" s="54"/>
      <c r="T81" s="55"/>
    </row>
    <row r="82" spans="1:21" x14ac:dyDescent="0.25">
      <c r="A82" s="1">
        <v>42829</v>
      </c>
      <c r="B82" t="s">
        <v>6</v>
      </c>
      <c r="C82" t="s">
        <v>35</v>
      </c>
      <c r="D82" s="50"/>
      <c r="E82">
        <v>5400</v>
      </c>
      <c r="F82" s="5">
        <v>5</v>
      </c>
      <c r="G82" s="2">
        <f>(Table5[[#This Row],[RPM]]/5400-1)</f>
        <v>0</v>
      </c>
      <c r="H82">
        <v>2</v>
      </c>
      <c r="I82" s="24"/>
      <c r="J82" s="6"/>
      <c r="K82" s="6"/>
      <c r="L82" s="6"/>
      <c r="M82" s="16">
        <v>235.89</v>
      </c>
      <c r="N82" s="13">
        <f>Table5[[#This Row],[Cost]]/Table5[[#This Row],[SizTB]]</f>
        <v>47.177999999999997</v>
      </c>
      <c r="O82" s="14">
        <f>Table5[[#This Row],[Cost]]+((CompareWarrYrs-Table5[[#This Row],[Warnty]])*(Incremental_Warr_Yr*Table5[[#This Row],[Cost]]))</f>
        <v>313.7337</v>
      </c>
      <c r="P82" s="7">
        <f>Table5[[#This Row],[$+Warr]]/Table5[[#This Row],[SizTB]]</f>
        <v>62.746740000000003</v>
      </c>
      <c r="Q82" s="13">
        <f>Table5[[#This Row],[$PerTB]]/CompareWarrYrs</f>
        <v>12.549348</v>
      </c>
      <c r="R82" s="8"/>
      <c r="S82" s="54"/>
      <c r="T82" s="55"/>
    </row>
    <row r="83" spans="1:21" x14ac:dyDescent="0.25">
      <c r="A83" s="1">
        <v>42829</v>
      </c>
      <c r="B83" t="s">
        <v>6</v>
      </c>
      <c r="C83" t="s">
        <v>35</v>
      </c>
      <c r="D83" s="50"/>
      <c r="E83">
        <v>5400</v>
      </c>
      <c r="F83" s="5">
        <v>6</v>
      </c>
      <c r="G83" s="2">
        <f>(Table5[[#This Row],[RPM]]/5400-1)</f>
        <v>0</v>
      </c>
      <c r="H83">
        <v>2</v>
      </c>
      <c r="I83" s="24"/>
      <c r="J83" s="6"/>
      <c r="K83" s="6"/>
      <c r="L83" s="6"/>
      <c r="M83" s="16">
        <f>172.01+19.99</f>
        <v>192</v>
      </c>
      <c r="N83" s="13">
        <f>Table5[[#This Row],[Cost]]/Table5[[#This Row],[SizTB]]</f>
        <v>32</v>
      </c>
      <c r="O83" s="14">
        <f>Table5[[#This Row],[Cost]]+((CompareWarrYrs-Table5[[#This Row],[Warnty]])*(Incremental_Warr_Yr*Table5[[#This Row],[Cost]]))</f>
        <v>255.36</v>
      </c>
      <c r="P83" s="7">
        <f>Table5[[#This Row],[$+Warr]]/Table5[[#This Row],[SizTB]]</f>
        <v>42.56</v>
      </c>
      <c r="Q83" s="13">
        <f>Table5[[#This Row],[$PerTB]]/CompareWarrYrs</f>
        <v>8.5120000000000005</v>
      </c>
      <c r="R83" s="8"/>
      <c r="S83" s="54"/>
      <c r="T83" s="55"/>
    </row>
    <row r="84" spans="1:21" x14ac:dyDescent="0.25">
      <c r="A84" s="1">
        <v>42884</v>
      </c>
      <c r="B84" t="s">
        <v>6</v>
      </c>
      <c r="C84" t="s">
        <v>57</v>
      </c>
      <c r="D84" s="50" t="s">
        <v>69</v>
      </c>
      <c r="E84">
        <v>7200</v>
      </c>
      <c r="F84" s="5">
        <v>1</v>
      </c>
      <c r="G84" s="2">
        <f>(Table5[[#This Row],[RPM]]/5400-1)</f>
        <v>0.33333333333333326</v>
      </c>
      <c r="H84">
        <v>5</v>
      </c>
      <c r="I84" s="24"/>
      <c r="J84" s="6">
        <v>8.1</v>
      </c>
      <c r="K84" s="6">
        <v>5.9</v>
      </c>
      <c r="L84" s="6"/>
      <c r="M84" s="16">
        <v>86.99</v>
      </c>
      <c r="N84" s="13">
        <f>Table5[[#This Row],[Cost]]/Table5[[#This Row],[SizTB]]</f>
        <v>86.99</v>
      </c>
      <c r="O84" s="14">
        <f>Table5[[#This Row],[Cost]]+((CompareWarrYrs-Table5[[#This Row],[Warnty]])*(Incremental_Warr_Yr*Table5[[#This Row],[Cost]]))</f>
        <v>86.99</v>
      </c>
      <c r="P84" s="7">
        <f>Table5[[#This Row],[$+Warr]]/Table5[[#This Row],[SizTB]]</f>
        <v>86.99</v>
      </c>
      <c r="Q84" s="13">
        <f>Table5[[#This Row],[$PerTB]]/CompareWarrYrs</f>
        <v>17.398</v>
      </c>
      <c r="R84" s="8"/>
      <c r="S84" s="54">
        <f>(((Table5[[#This Row],[Watts Active]]*Power_On_Hours_Year/1000)*Active_Duty_Cycle)+((Table5[[#This Row],[Watts Idle]]*Power_On_Hours_Year/1000)*(100%-Active_Duty_Cycle)))*CostPerKWH</f>
        <v>6.9468648000000002</v>
      </c>
      <c r="T84" s="55">
        <f>Table5[[#This Row],[Energy$year]]/Table5[[#This Row],[SizTB]]</f>
        <v>6.9468648000000002</v>
      </c>
    </row>
    <row r="85" spans="1:21" x14ac:dyDescent="0.25">
      <c r="A85" s="1">
        <v>42884</v>
      </c>
      <c r="B85" t="s">
        <v>6</v>
      </c>
      <c r="C85" t="s">
        <v>57</v>
      </c>
      <c r="D85" s="50" t="s">
        <v>69</v>
      </c>
      <c r="E85">
        <v>7200</v>
      </c>
      <c r="F85" s="5">
        <v>2</v>
      </c>
      <c r="G85" s="2">
        <f>(Table5[[#This Row],[RPM]]/5400-1)</f>
        <v>0.33333333333333326</v>
      </c>
      <c r="H85">
        <v>5</v>
      </c>
      <c r="I85" s="24"/>
      <c r="J85" s="6">
        <v>8.11</v>
      </c>
      <c r="K85" s="6">
        <v>5.9</v>
      </c>
      <c r="L85" s="6"/>
      <c r="M85" s="16">
        <v>134.99</v>
      </c>
      <c r="N85" s="13">
        <f>Table5[[#This Row],[Cost]]/Table5[[#This Row],[SizTB]]</f>
        <v>67.495000000000005</v>
      </c>
      <c r="O85" s="14">
        <f>Table5[[#This Row],[Cost]]+((CompareWarrYrs-Table5[[#This Row],[Warnty]])*(Incremental_Warr_Yr*Table5[[#This Row],[Cost]]))</f>
        <v>134.99</v>
      </c>
      <c r="P85" s="7">
        <f>Table5[[#This Row],[$+Warr]]/Table5[[#This Row],[SizTB]]</f>
        <v>67.495000000000005</v>
      </c>
      <c r="Q85" s="13">
        <f>Table5[[#This Row],[$PerTB]]/CompareWarrYrs</f>
        <v>13.499000000000001</v>
      </c>
      <c r="R85" s="8"/>
      <c r="S85" s="54">
        <f>(((Table5[[#This Row],[Watts Active]]*Power_On_Hours_Year/1000)*Active_Duty_Cycle)+((Table5[[#This Row],[Watts Idle]]*Power_On_Hours_Year/1000)*(100%-Active_Duty_Cycle)))*CostPerKWH</f>
        <v>6.94905624</v>
      </c>
      <c r="T85" s="55">
        <f>Table5[[#This Row],[Energy$year]]/Table5[[#This Row],[SizTB]]</f>
        <v>3.47452812</v>
      </c>
    </row>
    <row r="86" spans="1:21" x14ac:dyDescent="0.25">
      <c r="A86" s="1">
        <v>42895</v>
      </c>
      <c r="B86" t="s">
        <v>6</v>
      </c>
      <c r="C86" t="s">
        <v>57</v>
      </c>
      <c r="D86" s="50" t="s">
        <v>69</v>
      </c>
      <c r="E86">
        <v>7200</v>
      </c>
      <c r="F86" s="5">
        <v>4</v>
      </c>
      <c r="G86" s="2">
        <f>(Table5[[#This Row],[RPM]]/5400-1)</f>
        <v>0.33333333333333326</v>
      </c>
      <c r="H86">
        <v>5</v>
      </c>
      <c r="I86" s="24"/>
      <c r="J86" s="6">
        <v>9</v>
      </c>
      <c r="K86" s="6">
        <v>7</v>
      </c>
      <c r="L86" s="6"/>
      <c r="M86" s="16">
        <v>187.99</v>
      </c>
      <c r="N86" s="13">
        <f>Table5[[#This Row],[Cost]]/Table5[[#This Row],[SizTB]]</f>
        <v>46.997500000000002</v>
      </c>
      <c r="O86" s="14">
        <f>Table5[[#This Row],[Cost]]+((CompareWarrYrs-Table5[[#This Row],[Warnty]])*(Incremental_Warr_Yr*Table5[[#This Row],[Cost]]))</f>
        <v>187.99</v>
      </c>
      <c r="P86" s="7">
        <f>Table5[[#This Row],[$+Warr]]/Table5[[#This Row],[SizTB]]</f>
        <v>46.997500000000002</v>
      </c>
      <c r="Q86" s="13">
        <f>Table5[[#This Row],[$PerTB]]/CompareWarrYrs</f>
        <v>9.3994999999999997</v>
      </c>
      <c r="R86" s="8"/>
      <c r="S86" s="54">
        <f>(((Table5[[#This Row],[Watts Active]]*Power_On_Hours_Year/1000)*Active_Duty_Cycle)+((Table5[[#This Row],[Watts Idle]]*Power_On_Hours_Year/1000)*(100%-Active_Duty_Cycle)))*CostPerKWH</f>
        <v>8.1083280000000002</v>
      </c>
      <c r="T86" s="55">
        <f>Table5[[#This Row],[Energy$year]]/Table5[[#This Row],[SizTB]]</f>
        <v>2.0270820000000001</v>
      </c>
    </row>
    <row r="87" spans="1:21" x14ac:dyDescent="0.25">
      <c r="A87" s="1">
        <v>42846</v>
      </c>
      <c r="B87" t="s">
        <v>6</v>
      </c>
      <c r="C87" t="s">
        <v>57</v>
      </c>
      <c r="D87" s="50" t="s">
        <v>69</v>
      </c>
      <c r="E87">
        <v>7200</v>
      </c>
      <c r="F87" s="5">
        <v>6</v>
      </c>
      <c r="G87" s="2">
        <f>(Table5[[#This Row],[RPM]]/5400-1)</f>
        <v>0.33333333333333326</v>
      </c>
      <c r="H87">
        <v>5</v>
      </c>
      <c r="I87" s="24"/>
      <c r="J87" s="6">
        <v>9.3000000000000007</v>
      </c>
      <c r="K87" s="6">
        <v>7.1</v>
      </c>
      <c r="L87" s="6"/>
      <c r="M87" s="16">
        <v>269.99</v>
      </c>
      <c r="N87" s="13">
        <f>Table5[[#This Row],[Cost]]/Table5[[#This Row],[SizTB]]</f>
        <v>44.998333333333335</v>
      </c>
      <c r="O87" s="14">
        <f>Table5[[#This Row],[Cost]]+((CompareWarrYrs-Table5[[#This Row],[Warnty]])*(Incremental_Warr_Yr*Table5[[#This Row],[Cost]]))</f>
        <v>269.99</v>
      </c>
      <c r="P87" s="7">
        <f>Table5[[#This Row],[$+Warr]]/Table5[[#This Row],[SizTB]]</f>
        <v>44.998333333333335</v>
      </c>
      <c r="Q87" s="13">
        <f>Table5[[#This Row],[$PerTB]]/CompareWarrYrs</f>
        <v>8.9996666666666663</v>
      </c>
      <c r="R87" s="8"/>
      <c r="S87" s="54">
        <f>(((Table5[[#This Row],[Watts Active]]*Power_On_Hours_Year/1000)*Active_Duty_Cycle)+((Table5[[#This Row],[Watts Idle]]*Power_On_Hours_Year/1000)*(100%-Active_Duty_Cycle)))*CostPerKWH</f>
        <v>8.2617288000000002</v>
      </c>
      <c r="T87" s="55">
        <f>Table5[[#This Row],[Energy$year]]/Table5[[#This Row],[SizTB]]</f>
        <v>1.3769548</v>
      </c>
      <c r="U87" t="s">
        <v>49</v>
      </c>
    </row>
    <row r="88" spans="1:21" x14ac:dyDescent="0.25">
      <c r="A88" s="1">
        <v>42884</v>
      </c>
      <c r="B88" t="s">
        <v>6</v>
      </c>
      <c r="C88" t="s">
        <v>57</v>
      </c>
      <c r="D88" s="50" t="s">
        <v>69</v>
      </c>
      <c r="E88">
        <v>7200</v>
      </c>
      <c r="F88" s="5">
        <v>8</v>
      </c>
      <c r="G88" s="2">
        <f>(Table5[[#This Row],[RPM]]/5400-1)</f>
        <v>0.33333333333333326</v>
      </c>
      <c r="H88">
        <v>5</v>
      </c>
      <c r="I88" s="24"/>
      <c r="J88" s="6">
        <v>7.4</v>
      </c>
      <c r="K88" s="6">
        <v>5.0999999999999996</v>
      </c>
      <c r="L88" s="6"/>
      <c r="M88" s="16">
        <v>379.99</v>
      </c>
      <c r="N88" s="13">
        <f>Table5[[#This Row],[Cost]]/Table5[[#This Row],[SizTB]]</f>
        <v>47.498750000000001</v>
      </c>
      <c r="O88" s="14">
        <f>Table5[[#This Row],[Cost]]+((CompareWarrYrs-Table5[[#This Row],[Warnty]])*(Incremental_Warr_Yr*Table5[[#This Row],[Cost]]))</f>
        <v>379.99</v>
      </c>
      <c r="P88" s="7">
        <f>Table5[[#This Row],[$+Warr]]/Table5[[#This Row],[SizTB]]</f>
        <v>47.498750000000001</v>
      </c>
      <c r="Q88" s="13">
        <f>Table5[[#This Row],[$PerTB]]/CompareWarrYrs</f>
        <v>9.4997500000000006</v>
      </c>
      <c r="R88" s="8"/>
      <c r="S88" s="54">
        <f>(((Table5[[#This Row],[Watts Active]]*Power_On_Hours_Year/1000)*Active_Duty_Cycle)+((Table5[[#This Row],[Watts Idle]]*Power_On_Hours_Year/1000)*(100%-Active_Duty_Cycle)))*CostPerKWH</f>
        <v>6.0922031999999993</v>
      </c>
      <c r="T88" s="55">
        <f>Table5[[#This Row],[Energy$year]]/Table5[[#This Row],[SizTB]]</f>
        <v>0.76152539999999991</v>
      </c>
      <c r="U88" t="s">
        <v>50</v>
      </c>
    </row>
    <row r="89" spans="1:21" x14ac:dyDescent="0.25">
      <c r="A89" s="1">
        <v>42884</v>
      </c>
      <c r="B89" t="s">
        <v>6</v>
      </c>
      <c r="C89" t="s">
        <v>57</v>
      </c>
      <c r="D89" s="50" t="s">
        <v>69</v>
      </c>
      <c r="E89">
        <v>7200</v>
      </c>
      <c r="F89" s="5">
        <v>10</v>
      </c>
      <c r="G89" s="2">
        <f>(Table5[[#This Row],[RPM]]/5400-1)</f>
        <v>0.33333333333333326</v>
      </c>
      <c r="H89">
        <v>5</v>
      </c>
      <c r="I89" s="24"/>
      <c r="J89" s="6">
        <v>7.1</v>
      </c>
      <c r="K89" s="6">
        <v>5</v>
      </c>
      <c r="L89" s="6"/>
      <c r="M89" s="16">
        <v>469.99</v>
      </c>
      <c r="N89" s="13">
        <f>Table5[[#This Row],[Cost]]/Table5[[#This Row],[SizTB]]</f>
        <v>46.999000000000002</v>
      </c>
      <c r="O89" s="14">
        <f>Table5[[#This Row],[Cost]]+((CompareWarrYrs-Table5[[#This Row],[Warnty]])*(Incremental_Warr_Yr*Table5[[#This Row],[Cost]]))</f>
        <v>469.99</v>
      </c>
      <c r="P89" s="7">
        <f>Table5[[#This Row],[$+Warr]]/Table5[[#This Row],[SizTB]]</f>
        <v>46.999000000000002</v>
      </c>
      <c r="Q89" s="13">
        <f>Table5[[#This Row],[$PerTB]]/CompareWarrYrs</f>
        <v>9.3998000000000008</v>
      </c>
      <c r="R89" s="8"/>
      <c r="S89" s="54">
        <f>(((Table5[[#This Row],[Watts Active]]*Power_On_Hours_Year/1000)*Active_Duty_Cycle)+((Table5[[#This Row],[Watts Idle]]*Power_On_Hours_Year/1000)*(100%-Active_Duty_Cycle)))*CostPerKWH</f>
        <v>5.9388024000000001</v>
      </c>
      <c r="T89" s="55">
        <f>Table5[[#This Row],[Energy$year]]/Table5[[#This Row],[SizTB]]</f>
        <v>0.59388024000000006</v>
      </c>
      <c r="U89" t="s">
        <v>50</v>
      </c>
    </row>
    <row r="90" spans="1:21" x14ac:dyDescent="0.25">
      <c r="A90" s="1">
        <v>42959</v>
      </c>
      <c r="B90" t="s">
        <v>6</v>
      </c>
      <c r="C90" t="s">
        <v>10</v>
      </c>
      <c r="D90" s="50" t="s">
        <v>69</v>
      </c>
      <c r="E90">
        <v>5400</v>
      </c>
      <c r="F90" s="5">
        <v>1</v>
      </c>
      <c r="G90" s="2">
        <f>(Table5[[#This Row],[RPM]]/5400-1)</f>
        <v>0</v>
      </c>
      <c r="H90">
        <v>3</v>
      </c>
      <c r="I90" s="24">
        <f>12*1.2</f>
        <v>14.399999999999999</v>
      </c>
      <c r="J90" s="6">
        <v>3.3</v>
      </c>
      <c r="K90" s="6">
        <v>2.2999999999999998</v>
      </c>
      <c r="L90" s="6">
        <v>0.4</v>
      </c>
      <c r="M90" s="16">
        <v>62.99</v>
      </c>
      <c r="N90" s="13">
        <f>Table5[[#This Row],[Cost]]/Table5[[#This Row],[SizTB]]</f>
        <v>62.99</v>
      </c>
      <c r="O90" s="14">
        <f>Table5[[#This Row],[Cost]]+((CompareWarrYrs-Table5[[#This Row],[Warnty]])*(Incremental_Warr_Yr*Table5[[#This Row],[Cost]]))</f>
        <v>76.847800000000007</v>
      </c>
      <c r="P90" s="7">
        <f>Table5[[#This Row],[$+Warr]]/Table5[[#This Row],[SizTB]]</f>
        <v>76.847800000000007</v>
      </c>
      <c r="Q90" s="13">
        <f>Table5[[#This Row],[$PerTB]]/CompareWarrYrs</f>
        <v>15.369560000000002</v>
      </c>
      <c r="R90" s="8"/>
      <c r="S90" s="54">
        <f>(((Table5[[#This Row],[Watts Active]]*Power_On_Hours_Year/1000)*Active_Duty_Cycle)+((Table5[[#This Row],[Watts Idle]]*Power_On_Hours_Year/1000)*(100%-Active_Duty_Cycle)))*CostPerKWH</f>
        <v>2.7393000000000001</v>
      </c>
      <c r="T90" s="55">
        <f>Table5[[#This Row],[Energy$year]]/Table5[[#This Row],[SizTB]]</f>
        <v>2.7393000000000001</v>
      </c>
    </row>
    <row r="91" spans="1:21" x14ac:dyDescent="0.25">
      <c r="A91" s="1">
        <v>42959</v>
      </c>
      <c r="B91" t="s">
        <v>6</v>
      </c>
      <c r="C91" t="s">
        <v>10</v>
      </c>
      <c r="D91" s="50" t="s">
        <v>69</v>
      </c>
      <c r="E91">
        <v>5400</v>
      </c>
      <c r="F91" s="5">
        <v>2</v>
      </c>
      <c r="G91" s="2">
        <f>(Table5[[#This Row],[RPM]]/5400-1)</f>
        <v>0</v>
      </c>
      <c r="H91">
        <v>3</v>
      </c>
      <c r="I91" s="24">
        <f>12*1.73</f>
        <v>20.759999999999998</v>
      </c>
      <c r="J91" s="6">
        <v>4.0999999999999996</v>
      </c>
      <c r="K91" s="6">
        <v>2.7</v>
      </c>
      <c r="L91" s="6">
        <v>0.4</v>
      </c>
      <c r="M91" s="16">
        <v>84.99</v>
      </c>
      <c r="N91" s="13">
        <f>Table5[[#This Row],[Cost]]/Table5[[#This Row],[SizTB]]</f>
        <v>42.494999999999997</v>
      </c>
      <c r="O91" s="14">
        <f>Table5[[#This Row],[Cost]]+((CompareWarrYrs-Table5[[#This Row],[Warnty]])*(Incremental_Warr_Yr*Table5[[#This Row],[Cost]]))</f>
        <v>103.6878</v>
      </c>
      <c r="P91" s="7">
        <f>Table5[[#This Row],[$+Warr]]/Table5[[#This Row],[SizTB]]</f>
        <v>51.843899999999998</v>
      </c>
      <c r="Q91" s="13">
        <f>Table5[[#This Row],[$PerTB]]/CompareWarrYrs</f>
        <v>10.368779999999999</v>
      </c>
      <c r="R91" s="8"/>
      <c r="S91" s="54">
        <f>(((Table5[[#This Row],[Watts Active]]*Power_On_Hours_Year/1000)*Active_Duty_Cycle)+((Table5[[#This Row],[Watts Idle]]*Power_On_Hours_Year/1000)*(100%-Active_Duty_Cycle)))*CostPerKWH</f>
        <v>3.2652456000000005</v>
      </c>
      <c r="T91" s="55">
        <f>Table5[[#This Row],[Energy$year]]/Table5[[#This Row],[SizTB]]</f>
        <v>1.6326228000000003</v>
      </c>
    </row>
    <row r="92" spans="1:21" x14ac:dyDescent="0.25">
      <c r="A92" s="1">
        <v>42959</v>
      </c>
      <c r="B92" t="s">
        <v>6</v>
      </c>
      <c r="C92" t="s">
        <v>10</v>
      </c>
      <c r="D92" s="50" t="s">
        <v>69</v>
      </c>
      <c r="E92">
        <v>5400</v>
      </c>
      <c r="F92" s="5">
        <v>3</v>
      </c>
      <c r="G92" s="2">
        <f>(Table5[[#This Row],[RPM]]/5400-1)</f>
        <v>0</v>
      </c>
      <c r="H92">
        <v>3</v>
      </c>
      <c r="I92" s="24">
        <f>12*1.73</f>
        <v>20.759999999999998</v>
      </c>
      <c r="J92" s="6">
        <v>4.0999999999999996</v>
      </c>
      <c r="K92" s="6">
        <v>2.7</v>
      </c>
      <c r="L92" s="6">
        <v>0.4</v>
      </c>
      <c r="M92" s="16">
        <v>109.99</v>
      </c>
      <c r="N92" s="13">
        <f>Table5[[#This Row],[Cost]]/Table5[[#This Row],[SizTB]]</f>
        <v>36.663333333333334</v>
      </c>
      <c r="O92" s="14">
        <f>Table5[[#This Row],[Cost]]+((CompareWarrYrs-Table5[[#This Row],[Warnty]])*(Incremental_Warr_Yr*Table5[[#This Row],[Cost]]))</f>
        <v>134.18779999999998</v>
      </c>
      <c r="P92" s="7">
        <f>Table5[[#This Row],[$+Warr]]/Table5[[#This Row],[SizTB]]</f>
        <v>44.729266666666661</v>
      </c>
      <c r="Q92" s="13">
        <f>Table5[[#This Row],[$PerTB]]/CompareWarrYrs</f>
        <v>8.9458533333333321</v>
      </c>
      <c r="R92" s="8"/>
      <c r="S92" s="54">
        <f>(((Table5[[#This Row],[Watts Active]]*Power_On_Hours_Year/1000)*Active_Duty_Cycle)+((Table5[[#This Row],[Watts Idle]]*Power_On_Hours_Year/1000)*(100%-Active_Duty_Cycle)))*CostPerKWH</f>
        <v>3.2652456000000005</v>
      </c>
      <c r="T92" s="55">
        <f>Table5[[#This Row],[Energy$year]]/Table5[[#This Row],[SizTB]]</f>
        <v>1.0884152000000002</v>
      </c>
    </row>
    <row r="93" spans="1:21" x14ac:dyDescent="0.25">
      <c r="A93" s="1">
        <v>42959</v>
      </c>
      <c r="B93" t="s">
        <v>6</v>
      </c>
      <c r="C93" t="s">
        <v>10</v>
      </c>
      <c r="D93" s="50" t="s">
        <v>69</v>
      </c>
      <c r="E93">
        <v>5400</v>
      </c>
      <c r="F93" s="5">
        <v>4</v>
      </c>
      <c r="G93" s="2">
        <f>(Table5[[#This Row],[RPM]]/5400-1)</f>
        <v>0</v>
      </c>
      <c r="H93">
        <v>3</v>
      </c>
      <c r="I93" s="24">
        <f>12*1.75</f>
        <v>21</v>
      </c>
      <c r="J93" s="6">
        <v>4.5</v>
      </c>
      <c r="K93" s="6">
        <v>3.3</v>
      </c>
      <c r="L93" s="6">
        <v>0.4</v>
      </c>
      <c r="M93" s="16">
        <v>137.05000000000001</v>
      </c>
      <c r="N93" s="13">
        <f>Table5[[#This Row],[Cost]]/Table5[[#This Row],[SizTB]]</f>
        <v>34.262500000000003</v>
      </c>
      <c r="O93" s="14">
        <f>Table5[[#This Row],[Cost]]+((CompareWarrYrs-Table5[[#This Row],[Warnty]])*(Incremental_Warr_Yr*Table5[[#This Row],[Cost]]))</f>
        <v>167.20100000000002</v>
      </c>
      <c r="P93" s="7">
        <f>Table5[[#This Row],[$+Warr]]/Table5[[#This Row],[SizTB]]</f>
        <v>41.800250000000005</v>
      </c>
      <c r="Q93" s="13">
        <f>Table5[[#This Row],[$PerTB]]/CompareWarrYrs</f>
        <v>8.3600500000000011</v>
      </c>
      <c r="R93" s="8"/>
      <c r="S93" s="54">
        <f>(((Table5[[#This Row],[Watts Active]]*Power_On_Hours_Year/1000)*Active_Duty_Cycle)+((Table5[[#This Row],[Watts Idle]]*Power_On_Hours_Year/1000)*(100%-Active_Duty_Cycle)))*CostPerKWH</f>
        <v>3.8788488000000001</v>
      </c>
      <c r="T93" s="55">
        <f>Table5[[#This Row],[Energy$year]]/Table5[[#This Row],[SizTB]]</f>
        <v>0.96971220000000002</v>
      </c>
    </row>
    <row r="94" spans="1:21" x14ac:dyDescent="0.25">
      <c r="A94" s="1">
        <v>42842</v>
      </c>
      <c r="B94" t="s">
        <v>6</v>
      </c>
      <c r="C94" t="s">
        <v>10</v>
      </c>
      <c r="D94" s="50" t="s">
        <v>69</v>
      </c>
      <c r="E94">
        <v>5400</v>
      </c>
      <c r="F94" s="5">
        <v>5</v>
      </c>
      <c r="G94" s="2">
        <f>(Table5[[#This Row],[RPM]]/5400-1)</f>
        <v>0</v>
      </c>
      <c r="H94">
        <v>3</v>
      </c>
      <c r="I94" s="24">
        <f>12*1.75</f>
        <v>21</v>
      </c>
      <c r="J94" s="6">
        <v>5.3</v>
      </c>
      <c r="K94" s="6">
        <v>3.4</v>
      </c>
      <c r="L94" s="6">
        <v>0.4</v>
      </c>
      <c r="M94" s="16">
        <v>281.86</v>
      </c>
      <c r="N94" s="13">
        <f>Table5[[#This Row],[Cost]]/Table5[[#This Row],[SizTB]]</f>
        <v>56.372</v>
      </c>
      <c r="O94" s="14">
        <f>Table5[[#This Row],[Cost]]+((CompareWarrYrs-Table5[[#This Row],[Warnty]])*(Incremental_Warr_Yr*Table5[[#This Row],[Cost]]))</f>
        <v>343.86920000000003</v>
      </c>
      <c r="P94" s="7">
        <f>Table5[[#This Row],[$+Warr]]/Table5[[#This Row],[SizTB]]</f>
        <v>68.773840000000007</v>
      </c>
      <c r="Q94" s="13">
        <f>Table5[[#This Row],[$PerTB]]/CompareWarrYrs</f>
        <v>13.754768000000002</v>
      </c>
      <c r="R94" s="8"/>
      <c r="S94" s="54">
        <f>(((Table5[[#This Row],[Watts Active]]*Power_On_Hours_Year/1000)*Active_Duty_Cycle)+((Table5[[#This Row],[Watts Idle]]*Power_On_Hours_Year/1000)*(100%-Active_Duty_Cycle)))*CostPerKWH</f>
        <v>4.1418216000000001</v>
      </c>
      <c r="T94" s="55">
        <f>Table5[[#This Row],[Energy$year]]/Table5[[#This Row],[SizTB]]</f>
        <v>0.82836432000000004</v>
      </c>
    </row>
    <row r="95" spans="1:21" x14ac:dyDescent="0.25">
      <c r="A95" s="1">
        <v>42959</v>
      </c>
      <c r="B95" t="s">
        <v>6</v>
      </c>
      <c r="C95" t="s">
        <v>10</v>
      </c>
      <c r="D95" s="50" t="s">
        <v>69</v>
      </c>
      <c r="E95">
        <v>5400</v>
      </c>
      <c r="F95" s="5">
        <v>6</v>
      </c>
      <c r="G95" s="2">
        <f>(Table5[[#This Row],[RPM]]/5400-1)</f>
        <v>0</v>
      </c>
      <c r="H95">
        <v>3</v>
      </c>
      <c r="I95" s="24">
        <f>12*1.75</f>
        <v>21</v>
      </c>
      <c r="J95" s="6">
        <v>5.3</v>
      </c>
      <c r="K95" s="6">
        <v>3.4</v>
      </c>
      <c r="L95" s="6">
        <v>0.4</v>
      </c>
      <c r="M95" s="16">
        <v>214.99</v>
      </c>
      <c r="N95" s="13">
        <f>Table5[[#This Row],[Cost]]/Table5[[#This Row],[SizTB]]</f>
        <v>35.831666666666671</v>
      </c>
      <c r="O95" s="14">
        <f>Table5[[#This Row],[Cost]]+((CompareWarrYrs-Table5[[#This Row],[Warnty]])*(Incremental_Warr_Yr*Table5[[#This Row],[Cost]]))</f>
        <v>262.2878</v>
      </c>
      <c r="P95" s="7">
        <f>Table5[[#This Row],[$+Warr]]/Table5[[#This Row],[SizTB]]</f>
        <v>43.714633333333332</v>
      </c>
      <c r="Q95" s="13">
        <f>Table5[[#This Row],[$PerTB]]/CompareWarrYrs</f>
        <v>8.7429266666666656</v>
      </c>
      <c r="R95" s="8"/>
      <c r="S95" s="54">
        <f>(((Table5[[#This Row],[Watts Active]]*Power_On_Hours_Year/1000)*Active_Duty_Cycle)+((Table5[[#This Row],[Watts Idle]]*Power_On_Hours_Year/1000)*(100%-Active_Duty_Cycle)))*CostPerKWH</f>
        <v>4.1418216000000001</v>
      </c>
      <c r="T95" s="55">
        <f>Table5[[#This Row],[Energy$year]]/Table5[[#This Row],[SizTB]]</f>
        <v>0.69030360000000002</v>
      </c>
    </row>
    <row r="96" spans="1:21" x14ac:dyDescent="0.25">
      <c r="A96" s="1">
        <v>42959</v>
      </c>
      <c r="B96" t="s">
        <v>6</v>
      </c>
      <c r="C96" t="s">
        <v>10</v>
      </c>
      <c r="D96" s="50" t="s">
        <v>69</v>
      </c>
      <c r="E96">
        <v>5400</v>
      </c>
      <c r="F96" s="5">
        <v>8</v>
      </c>
      <c r="G96" s="2">
        <f>(Table5[[#This Row],[RPM]]/5400-1)</f>
        <v>0</v>
      </c>
      <c r="H96">
        <v>3</v>
      </c>
      <c r="I96" s="24">
        <f>12*1.79</f>
        <v>21.48</v>
      </c>
      <c r="J96" s="6">
        <v>6.4</v>
      </c>
      <c r="K96" s="6">
        <v>5.2</v>
      </c>
      <c r="L96" s="6">
        <v>0.7</v>
      </c>
      <c r="M96" s="16">
        <v>279.99</v>
      </c>
      <c r="N96" s="13">
        <f>Table5[[#This Row],[Cost]]/Table5[[#This Row],[SizTB]]</f>
        <v>34.998750000000001</v>
      </c>
      <c r="O96" s="14">
        <f>Table5[[#This Row],[Cost]]+((CompareWarrYrs-Table5[[#This Row],[Warnty]])*(Incremental_Warr_Yr*Table5[[#This Row],[Cost]]))</f>
        <v>341.58780000000002</v>
      </c>
      <c r="P96" s="7">
        <f>Table5[[#This Row],[$+Warr]]/Table5[[#This Row],[SizTB]]</f>
        <v>42.698475000000002</v>
      </c>
      <c r="Q96" s="13">
        <f>Table5[[#This Row],[$PerTB]]/CompareWarrYrs</f>
        <v>8.539695</v>
      </c>
      <c r="R96" s="8"/>
      <c r="S96" s="54">
        <f>(((Table5[[#This Row],[Watts Active]]*Power_On_Hours_Year/1000)*Active_Duty_Cycle)+((Table5[[#This Row],[Watts Idle]]*Power_On_Hours_Year/1000)*(100%-Active_Duty_Cycle)))*CostPerKWH</f>
        <v>5.960716800000001</v>
      </c>
      <c r="T96" s="55">
        <f>Table5[[#This Row],[Energy$year]]/Table5[[#This Row],[SizTB]]</f>
        <v>0.74508960000000013</v>
      </c>
    </row>
    <row r="97" spans="1:20" x14ac:dyDescent="0.25">
      <c r="A97" s="1">
        <v>42959</v>
      </c>
      <c r="B97" t="s">
        <v>6</v>
      </c>
      <c r="C97" t="s">
        <v>10</v>
      </c>
      <c r="D97" s="50" t="s">
        <v>69</v>
      </c>
      <c r="E97">
        <v>5400</v>
      </c>
      <c r="F97" s="5">
        <v>10</v>
      </c>
      <c r="G97" s="2">
        <f>(Table5[[#This Row],[RPM]]/5400-1)</f>
        <v>0</v>
      </c>
      <c r="H97">
        <v>3</v>
      </c>
      <c r="I97" s="24"/>
      <c r="J97" s="6"/>
      <c r="K97" s="6"/>
      <c r="L97" s="6"/>
      <c r="M97" s="16">
        <v>378.99</v>
      </c>
      <c r="N97" s="13">
        <f>Table5[[#This Row],[Cost]]/Table5[[#This Row],[SizTB]]</f>
        <v>37.899000000000001</v>
      </c>
      <c r="O97" s="14">
        <f>Table5[[#This Row],[Cost]]+((CompareWarrYrs-Table5[[#This Row],[Warnty]])*(Incremental_Warr_Yr*Table5[[#This Row],[Cost]]))</f>
        <v>462.36779999999999</v>
      </c>
      <c r="P97" s="7">
        <f>Table5[[#This Row],[$+Warr]]/Table5[[#This Row],[SizTB]]</f>
        <v>46.236779999999996</v>
      </c>
      <c r="Q97" s="13">
        <f>Table5[[#This Row],[$PerTB]]/CompareWarrYrs</f>
        <v>9.2473559999999999</v>
      </c>
      <c r="R97" s="8"/>
      <c r="S97" s="54"/>
      <c r="T97" s="55"/>
    </row>
    <row r="98" spans="1:20" x14ac:dyDescent="0.25">
      <c r="A98" s="1">
        <v>42842</v>
      </c>
      <c r="B98" t="s">
        <v>6</v>
      </c>
      <c r="C98" t="s">
        <v>13</v>
      </c>
      <c r="D98" s="50" t="s">
        <v>69</v>
      </c>
      <c r="E98">
        <v>7200</v>
      </c>
      <c r="F98" s="5">
        <v>2</v>
      </c>
      <c r="G98" s="2">
        <f>(Table5[[#This Row],[RPM]]/5400-1)</f>
        <v>0.33333333333333326</v>
      </c>
      <c r="H98">
        <v>5</v>
      </c>
      <c r="I98" s="24">
        <f>12*1.9</f>
        <v>22.799999999999997</v>
      </c>
      <c r="J98" s="6">
        <v>7.8</v>
      </c>
      <c r="K98" s="6">
        <v>6</v>
      </c>
      <c r="L98" s="6">
        <v>1.4</v>
      </c>
      <c r="M98" s="16">
        <v>139.99</v>
      </c>
      <c r="N98" s="13">
        <f>Table5[[#This Row],[Cost]]/Table5[[#This Row],[SizTB]]</f>
        <v>69.995000000000005</v>
      </c>
      <c r="O98" s="14">
        <f>Table5[[#This Row],[Cost]]+((CompareWarrYrs-Table5[[#This Row],[Warnty]])*(Incremental_Warr_Yr*Table5[[#This Row],[Cost]]))</f>
        <v>139.99</v>
      </c>
      <c r="P98" s="7">
        <f>Table5[[#This Row],[$+Warr]]/Table5[[#This Row],[SizTB]]</f>
        <v>69.995000000000005</v>
      </c>
      <c r="Q98" s="13">
        <f>Table5[[#This Row],[$PerTB]]/CompareWarrYrs</f>
        <v>13.999000000000001</v>
      </c>
      <c r="R98" s="8"/>
      <c r="S98" s="54">
        <f>(((Table5[[#This Row],[Watts Active]]*Power_On_Hours_Year/1000)*Active_Duty_Cycle)+((Table5[[#This Row],[Watts Idle]]*Power_On_Hours_Year/1000)*(100%-Active_Duty_Cycle)))*CostPerKWH</f>
        <v>6.9687792000000002</v>
      </c>
      <c r="T98" s="55">
        <f>Table5[[#This Row],[Energy$year]]/Table5[[#This Row],[SizTB]]</f>
        <v>3.4843896000000001</v>
      </c>
    </row>
    <row r="99" spans="1:20" x14ac:dyDescent="0.25">
      <c r="A99" s="1">
        <v>42842</v>
      </c>
      <c r="B99" t="s">
        <v>6</v>
      </c>
      <c r="C99" t="s">
        <v>13</v>
      </c>
      <c r="D99" s="50" t="s">
        <v>69</v>
      </c>
      <c r="E99">
        <v>7200</v>
      </c>
      <c r="F99" s="5">
        <v>3</v>
      </c>
      <c r="G99" s="2">
        <f>(Table5[[#This Row],[RPM]]/5400-1)</f>
        <v>0.33333333333333326</v>
      </c>
      <c r="H99">
        <v>5</v>
      </c>
      <c r="I99" s="24">
        <f>12*1.9</f>
        <v>22.799999999999997</v>
      </c>
      <c r="J99" s="6">
        <v>8.6</v>
      </c>
      <c r="K99" s="6">
        <v>6.5</v>
      </c>
      <c r="L99" s="6">
        <v>0.6</v>
      </c>
      <c r="M99" s="16">
        <v>201.99</v>
      </c>
      <c r="N99" s="13">
        <f>Table5[[#This Row],[Cost]]/Table5[[#This Row],[SizTB]]</f>
        <v>67.33</v>
      </c>
      <c r="O99" s="14">
        <f>Table5[[#This Row],[Cost]]+((CompareWarrYrs-Table5[[#This Row],[Warnty]])*(Incremental_Warr_Yr*Table5[[#This Row],[Cost]]))</f>
        <v>201.99</v>
      </c>
      <c r="P99" s="7">
        <f>Table5[[#This Row],[$+Warr]]/Table5[[#This Row],[SizTB]]</f>
        <v>67.33</v>
      </c>
      <c r="Q99" s="13">
        <f>Table5[[#This Row],[$PerTB]]/CompareWarrYrs</f>
        <v>13.465999999999999</v>
      </c>
      <c r="R99" s="8"/>
      <c r="S99" s="54">
        <f>(((Table5[[#This Row],[Watts Active]]*Power_On_Hours_Year/1000)*Active_Duty_Cycle)+((Table5[[#This Row],[Watts Idle]]*Power_On_Hours_Year/1000)*(100%-Active_Duty_Cycle)))*CostPerKWH</f>
        <v>7.5823824000000002</v>
      </c>
      <c r="T99" s="55">
        <f>Table5[[#This Row],[Energy$year]]/Table5[[#This Row],[SizTB]]</f>
        <v>2.5274608000000001</v>
      </c>
    </row>
    <row r="100" spans="1:20" x14ac:dyDescent="0.25">
      <c r="A100" s="1">
        <v>42842</v>
      </c>
      <c r="B100" t="s">
        <v>6</v>
      </c>
      <c r="C100" t="s">
        <v>13</v>
      </c>
      <c r="D100" s="50" t="s">
        <v>69</v>
      </c>
      <c r="E100">
        <v>7200</v>
      </c>
      <c r="F100" s="5">
        <v>4</v>
      </c>
      <c r="G100" s="2">
        <f>(Table5[[#This Row],[RPM]]/5400-1)</f>
        <v>0.33333333333333326</v>
      </c>
      <c r="H100">
        <v>5</v>
      </c>
      <c r="I100" s="24">
        <f>12*1.9</f>
        <v>22.799999999999997</v>
      </c>
      <c r="J100" s="6">
        <v>9.1</v>
      </c>
      <c r="K100" s="6">
        <v>5.8</v>
      </c>
      <c r="L100" s="6">
        <v>1</v>
      </c>
      <c r="M100" s="16">
        <v>199.99</v>
      </c>
      <c r="N100" s="13">
        <f>Table5[[#This Row],[Cost]]/Table5[[#This Row],[SizTB]]</f>
        <v>49.997500000000002</v>
      </c>
      <c r="O100" s="14">
        <f>Table5[[#This Row],[Cost]]+((CompareWarrYrs-Table5[[#This Row],[Warnty]])*(Incremental_Warr_Yr*Table5[[#This Row],[Cost]]))</f>
        <v>199.99</v>
      </c>
      <c r="P100" s="7">
        <f>Table5[[#This Row],[$+Warr]]/Table5[[#This Row],[SizTB]]</f>
        <v>49.997500000000002</v>
      </c>
      <c r="Q100" s="13">
        <f>Table5[[#This Row],[$PerTB]]/CompareWarrYrs</f>
        <v>9.9995000000000012</v>
      </c>
      <c r="R100" s="8"/>
      <c r="S100" s="54">
        <f>(((Table5[[#This Row],[Watts Active]]*Power_On_Hours_Year/1000)*Active_Duty_Cycle)+((Table5[[#This Row],[Watts Idle]]*Power_On_Hours_Year/1000)*(100%-Active_Duty_Cycle)))*CostPerKWH</f>
        <v>7.0783512000000002</v>
      </c>
      <c r="T100" s="55">
        <f>Table5[[#This Row],[Energy$year]]/Table5[[#This Row],[SizTB]]</f>
        <v>1.7695878</v>
      </c>
    </row>
    <row r="101" spans="1:20" x14ac:dyDescent="0.25">
      <c r="A101" s="1">
        <v>42842</v>
      </c>
      <c r="B101" t="s">
        <v>6</v>
      </c>
      <c r="C101" t="s">
        <v>13</v>
      </c>
      <c r="D101" s="50" t="s">
        <v>69</v>
      </c>
      <c r="E101">
        <v>7200</v>
      </c>
      <c r="F101" s="5">
        <v>5</v>
      </c>
      <c r="G101" s="2">
        <f>(Table5[[#This Row],[RPM]]/5400-1)</f>
        <v>0.33333333333333326</v>
      </c>
      <c r="H101">
        <v>5</v>
      </c>
      <c r="I101" s="24">
        <f>12*1.9</f>
        <v>22.799999999999997</v>
      </c>
      <c r="J101" s="6">
        <v>10.6</v>
      </c>
      <c r="K101" s="6">
        <v>7.4</v>
      </c>
      <c r="L101" s="6">
        <v>1.6</v>
      </c>
      <c r="M101" s="16">
        <v>259.99</v>
      </c>
      <c r="N101" s="13">
        <f>Table5[[#This Row],[Cost]]/Table5[[#This Row],[SizTB]]</f>
        <v>51.998000000000005</v>
      </c>
      <c r="O101" s="14">
        <f>Table5[[#This Row],[Cost]]+((CompareWarrYrs-Table5[[#This Row],[Warnty]])*(Incremental_Warr_Yr*Table5[[#This Row],[Cost]]))</f>
        <v>259.99</v>
      </c>
      <c r="P101" s="7">
        <f>Table5[[#This Row],[$+Warr]]/Table5[[#This Row],[SizTB]]</f>
        <v>51.998000000000005</v>
      </c>
      <c r="Q101" s="13">
        <f>Table5[[#This Row],[$PerTB]]/CompareWarrYrs</f>
        <v>10.399600000000001</v>
      </c>
      <c r="R101" s="25"/>
      <c r="S101" s="54">
        <f>(((Table5[[#This Row],[Watts Active]]*Power_On_Hours_Year/1000)*Active_Duty_Cycle)+((Table5[[#This Row],[Watts Idle]]*Power_On_Hours_Year/1000)*(100%-Active_Duty_Cycle)))*CostPerKWH</f>
        <v>8.8095888000000002</v>
      </c>
      <c r="T101" s="55">
        <f>Table5[[#This Row],[Energy$year]]/Table5[[#This Row],[SizTB]]</f>
        <v>1.76191776</v>
      </c>
    </row>
    <row r="102" spans="1:20" x14ac:dyDescent="0.25">
      <c r="A102" s="1">
        <v>42888</v>
      </c>
      <c r="B102" t="s">
        <v>6</v>
      </c>
      <c r="C102" t="s">
        <v>13</v>
      </c>
      <c r="D102" s="50" t="s">
        <v>69</v>
      </c>
      <c r="E102">
        <v>7200</v>
      </c>
      <c r="F102" s="5">
        <v>6</v>
      </c>
      <c r="G102" s="2">
        <f>(Table5[[#This Row],[RPM]]/5400-1)</f>
        <v>0.33333333333333326</v>
      </c>
      <c r="H102">
        <v>5</v>
      </c>
      <c r="I102" s="24">
        <f>12*1.9</f>
        <v>22.799999999999997</v>
      </c>
      <c r="J102" s="6">
        <v>9.1</v>
      </c>
      <c r="K102" s="6">
        <v>7.1</v>
      </c>
      <c r="L102" s="6">
        <v>1</v>
      </c>
      <c r="M102" s="16">
        <v>249.99</v>
      </c>
      <c r="N102" s="13">
        <f>Table5[[#This Row],[Cost]]/Table5[[#This Row],[SizTB]]</f>
        <v>41.664999999999999</v>
      </c>
      <c r="O102" s="14">
        <f>Table5[[#This Row],[Cost]]+((CompareWarrYrs-Table5[[#This Row],[Warnty]])*(Incremental_Warr_Yr*Table5[[#This Row],[Cost]]))</f>
        <v>249.99</v>
      </c>
      <c r="P102" s="7">
        <f>Table5[[#This Row],[$+Warr]]/Table5[[#This Row],[SizTB]]</f>
        <v>41.664999999999999</v>
      </c>
      <c r="Q102" s="13">
        <f>Table5[[#This Row],[$PerTB]]/CompareWarrYrs</f>
        <v>8.3330000000000002</v>
      </c>
      <c r="R102" s="8"/>
      <c r="S102" s="54">
        <f>(((Table5[[#This Row],[Watts Active]]*Power_On_Hours_Year/1000)*Active_Duty_Cycle)+((Table5[[#This Row],[Watts Idle]]*Power_On_Hours_Year/1000)*(100%-Active_Duty_Cycle)))*CostPerKWH</f>
        <v>8.2179000000000002</v>
      </c>
      <c r="T102" s="55">
        <f>Table5[[#This Row],[Energy$year]]/Table5[[#This Row],[SizTB]]</f>
        <v>1.36965</v>
      </c>
    </row>
    <row r="103" spans="1:20" ht="15.75" thickBot="1" x14ac:dyDescent="0.3">
      <c r="A103" s="1">
        <v>42868</v>
      </c>
      <c r="B103" t="s">
        <v>6</v>
      </c>
      <c r="C103" t="s">
        <v>13</v>
      </c>
      <c r="D103" s="50" t="s">
        <v>69</v>
      </c>
      <c r="E103">
        <v>7200</v>
      </c>
      <c r="F103" s="5">
        <v>8</v>
      </c>
      <c r="G103" s="2">
        <f>(Table5[[#This Row],[RPM]]/5400-1)</f>
        <v>0.33333333333333326</v>
      </c>
      <c r="H103">
        <v>5</v>
      </c>
      <c r="I103" s="24">
        <f>12*1.79</f>
        <v>21.48</v>
      </c>
      <c r="J103" s="6">
        <v>7.9</v>
      </c>
      <c r="K103" s="6">
        <v>5.0999999999999996</v>
      </c>
      <c r="L103" s="6">
        <v>1</v>
      </c>
      <c r="M103" s="16">
        <f>399.99*0.9</f>
        <v>359.99100000000004</v>
      </c>
      <c r="N103" s="13">
        <f>Table5[[#This Row],[Cost]]/Table5[[#This Row],[SizTB]]</f>
        <v>44.998875000000005</v>
      </c>
      <c r="O103" s="14">
        <f>Table5[[#This Row],[Cost]]+((CompareWarrYrs-Table5[[#This Row],[Warnty]])*(Incremental_Warr_Yr*Table5[[#This Row],[Cost]]))</f>
        <v>359.99100000000004</v>
      </c>
      <c r="P103" s="7">
        <f>Table5[[#This Row],[$+Warr]]/Table5[[#This Row],[SizTB]]</f>
        <v>44.998875000000005</v>
      </c>
      <c r="Q103" s="13">
        <f>Table5[[#This Row],[$PerTB]]/CompareWarrYrs</f>
        <v>8.9997750000000014</v>
      </c>
      <c r="R103" s="8"/>
      <c r="S103" s="58">
        <f>(((Table5[[#This Row],[Watts Active]]*Power_On_Hours_Year/1000)*Active_Duty_Cycle)+((Table5[[#This Row],[Watts Idle]]*Power_On_Hours_Year/1000)*(100%-Active_Duty_Cycle)))*CostPerKWH</f>
        <v>6.2017751999999993</v>
      </c>
      <c r="T103" s="59">
        <f>Table5[[#This Row],[Energy$year]]/Table5[[#This Row],[SizTB]]</f>
        <v>0.77522189999999991</v>
      </c>
    </row>
    <row r="104" spans="1:20" ht="15.75" thickBot="1" x14ac:dyDescent="0.3">
      <c r="A104" s="8"/>
      <c r="B104" s="8"/>
      <c r="C104" s="8"/>
      <c r="D104" s="8"/>
      <c r="E104" s="27" t="s">
        <v>27</v>
      </c>
      <c r="F104" s="28">
        <f>MIN(F3:F103)</f>
        <v>1</v>
      </c>
      <c r="G104" s="30"/>
      <c r="H104" s="28">
        <f>MIN(H3:H103)</f>
        <v>1</v>
      </c>
      <c r="I104" s="28">
        <f>MIN(I3:I103)</f>
        <v>5</v>
      </c>
      <c r="J104" s="28">
        <f>MIN(J3:J103)</f>
        <v>1.7</v>
      </c>
      <c r="K104" s="28">
        <f>MIN(K3:K103)</f>
        <v>0.45</v>
      </c>
      <c r="L104" s="28">
        <f>MIN(L3:L103)</f>
        <v>0.4</v>
      </c>
      <c r="M104" s="28"/>
      <c r="N104" s="29">
        <f>MIN(N3:N103)</f>
        <v>23.331666666666667</v>
      </c>
      <c r="O104" s="30"/>
      <c r="P104" s="29">
        <f>MIN(P3:P103)</f>
        <v>31.031116666666673</v>
      </c>
      <c r="Q104" s="29">
        <f>MIN(Q3:Q103)</f>
        <v>6.2062233333333348</v>
      </c>
      <c r="R104" s="30"/>
      <c r="S104" s="29">
        <f>MIN(S3:S103)</f>
        <v>0.76700400000000002</v>
      </c>
      <c r="T104" s="31">
        <f>MIN(T3:T103)</f>
        <v>0.28488720000000006</v>
      </c>
    </row>
    <row r="105" spans="1:20" ht="15.75" thickBot="1" x14ac:dyDescent="0.3">
      <c r="B105" s="5"/>
      <c r="E105" s="32" t="s">
        <v>46</v>
      </c>
      <c r="F105" s="33">
        <f>AVERAGE(F3:F103)</f>
        <v>4.334653465346535</v>
      </c>
      <c r="G105" s="34"/>
      <c r="H105" s="33">
        <f>AVERAGE(H3:H103)</f>
        <v>3.8118811881188117</v>
      </c>
      <c r="I105" s="33">
        <f>AVERAGE(I3:I103)</f>
        <v>21.812258064516126</v>
      </c>
      <c r="J105" s="33">
        <f>AVERAGE(J3:J103)</f>
        <v>7.1840000000000046</v>
      </c>
      <c r="K105" s="33">
        <f>AVERAGE(K3:K103)</f>
        <v>5.0976190476190464</v>
      </c>
      <c r="L105" s="33">
        <f>AVERAGE(L3:L103)</f>
        <v>0.82189655172413822</v>
      </c>
      <c r="M105" s="34"/>
      <c r="N105" s="35">
        <f>AVERAGE(N3:N103)</f>
        <v>51.329462183718341</v>
      </c>
      <c r="O105" s="34"/>
      <c r="P105" s="35">
        <f>AVERAGE(P3:P103)</f>
        <v>56.304134675467523</v>
      </c>
      <c r="Q105" s="35">
        <f>AVERAGE(Q3:Q103)</f>
        <v>11.260826935093512</v>
      </c>
      <c r="R105" s="34"/>
      <c r="S105" s="35">
        <f>AVERAGE(S3:S103)</f>
        <v>5.9532825478481026</v>
      </c>
      <c r="T105" s="36">
        <f>AVERAGE(T3:T103)</f>
        <v>1.9412169270295365</v>
      </c>
    </row>
    <row r="106" spans="1:20" ht="15.75" thickBot="1" x14ac:dyDescent="0.3">
      <c r="B106" s="5"/>
      <c r="E106" s="32" t="s">
        <v>26</v>
      </c>
      <c r="F106" s="33">
        <f>MEDIAN(F3:F103)</f>
        <v>4</v>
      </c>
      <c r="G106" s="37"/>
      <c r="H106" s="33">
        <f>MEDIAN(H3:H103)</f>
        <v>5</v>
      </c>
      <c r="I106" s="33">
        <f>MEDIAN(I3:I103)</f>
        <v>23.28</v>
      </c>
      <c r="J106" s="33">
        <f>MEDIAN(J3:J103)</f>
        <v>7.6999999999999993</v>
      </c>
      <c r="K106" s="33">
        <f>MEDIAN(K3:K103)</f>
        <v>5.0999999999999996</v>
      </c>
      <c r="L106" s="33">
        <f>MEDIAN(L3:L103)</f>
        <v>0.8</v>
      </c>
      <c r="M106" s="37"/>
      <c r="N106" s="35">
        <f>MEDIAN(N3:N103)</f>
        <v>43.998000000000005</v>
      </c>
      <c r="O106" s="37"/>
      <c r="P106" s="35">
        <f>MEDIAN(P3:P103)</f>
        <v>45.138780000000004</v>
      </c>
      <c r="Q106" s="35">
        <f>MEDIAN(Q3:Q103)</f>
        <v>9.0277560000000001</v>
      </c>
      <c r="R106" s="37"/>
      <c r="S106" s="35">
        <f>MEDIAN(S3:S103)</f>
        <v>6.0264600000000002</v>
      </c>
      <c r="T106" s="36">
        <f>MEDIAN(T3:T103)</f>
        <v>1.497484</v>
      </c>
    </row>
    <row r="107" spans="1:20" ht="15.75" thickBot="1" x14ac:dyDescent="0.3">
      <c r="E107" s="32" t="s">
        <v>28</v>
      </c>
      <c r="F107" s="33">
        <f>MAX(F3:F103)</f>
        <v>10</v>
      </c>
      <c r="G107" s="34"/>
      <c r="H107" s="33">
        <f>MAX(H3:H103)</f>
        <v>5</v>
      </c>
      <c r="I107" s="33">
        <f>MAX(I3:I103)</f>
        <v>31.200000000000003</v>
      </c>
      <c r="J107" s="33">
        <f>MAX(J3:J103)</f>
        <v>11.27</v>
      </c>
      <c r="K107" s="33">
        <f>MAX(K3:K103)</f>
        <v>8.1</v>
      </c>
      <c r="L107" s="33">
        <f>MAX(L3:L103)</f>
        <v>1.6</v>
      </c>
      <c r="M107" s="33"/>
      <c r="N107" s="35">
        <f>MAX(N3:N103)</f>
        <v>324.93888888888887</v>
      </c>
      <c r="O107" s="34"/>
      <c r="P107" s="35">
        <f>MAX(P3:P103)</f>
        <v>324.93888888888887</v>
      </c>
      <c r="Q107" s="35">
        <f>MAX(Q3:Q103)</f>
        <v>64.987777777777779</v>
      </c>
      <c r="R107" s="34"/>
      <c r="S107" s="35">
        <f>MAX(S3:S103)</f>
        <v>9.1821336000000002</v>
      </c>
      <c r="T107" s="36">
        <f>MAX(T3:T103)</f>
        <v>6.9468648000000002</v>
      </c>
    </row>
    <row r="108" spans="1:20" ht="15.75" thickBot="1" x14ac:dyDescent="0.3">
      <c r="E108" s="38" t="s">
        <v>51</v>
      </c>
      <c r="F108" s="39">
        <f>COUNT(Table5[SizTB])</f>
        <v>101</v>
      </c>
      <c r="G108" s="40"/>
      <c r="H108" s="39">
        <f>COUNT(Table5[Warnty])</f>
        <v>101</v>
      </c>
      <c r="I108" s="39">
        <f>COUNT(Table5[MaxStartupWatts])</f>
        <v>62</v>
      </c>
      <c r="J108" s="39">
        <f>COUNT(Table5[Watts Active])</f>
        <v>80</v>
      </c>
      <c r="K108" s="39">
        <f>COUNT(Table5[Watts Idle])</f>
        <v>84</v>
      </c>
      <c r="L108" s="39">
        <f>COUNT(Table5[WattsStandby])</f>
        <v>58</v>
      </c>
      <c r="M108" s="40"/>
      <c r="N108" s="39">
        <f>COUNT(Table5[$ TB])</f>
        <v>101</v>
      </c>
      <c r="O108" s="39"/>
      <c r="P108" s="39">
        <f>COUNT(Table5[$PerTB])</f>
        <v>101</v>
      </c>
      <c r="Q108" s="39">
        <f>COUNTA(Table5[$ TB/year])</f>
        <v>101</v>
      </c>
      <c r="R108" s="40"/>
      <c r="S108" s="39">
        <f>COUNT(Table5[Energy$year])</f>
        <v>79</v>
      </c>
      <c r="T108" s="41">
        <f>COUNT(Table5[Energy$yearPerTB])</f>
        <v>79</v>
      </c>
    </row>
    <row r="111" spans="1:20" ht="15.75" thickBot="1" x14ac:dyDescent="0.3"/>
    <row r="112" spans="1:20" ht="15.75" thickBot="1" x14ac:dyDescent="0.3">
      <c r="A112" s="70" t="s">
        <v>29</v>
      </c>
      <c r="B112" s="71"/>
      <c r="C112" s="68" t="s">
        <v>24</v>
      </c>
      <c r="D112" s="69"/>
    </row>
    <row r="113" spans="1:5" ht="15.75" thickBot="1" x14ac:dyDescent="0.3">
      <c r="A113" s="61">
        <f>MAX(A2:A103)</f>
        <v>42959</v>
      </c>
      <c r="B113" s="62"/>
      <c r="C113" s="44" t="s">
        <v>20</v>
      </c>
      <c r="D113" s="60">
        <v>0.125</v>
      </c>
      <c r="E113" s="47"/>
    </row>
    <row r="114" spans="1:5" ht="15.75" thickBot="1" x14ac:dyDescent="0.3">
      <c r="C114" s="44" t="s">
        <v>36</v>
      </c>
      <c r="D114" s="45">
        <v>0.2</v>
      </c>
      <c r="E114" s="48"/>
    </row>
    <row r="115" spans="1:5" ht="15.75" thickBot="1" x14ac:dyDescent="0.3">
      <c r="C115" s="44" t="s">
        <v>45</v>
      </c>
      <c r="D115" s="46">
        <v>5</v>
      </c>
      <c r="E115" s="49"/>
    </row>
    <row r="116" spans="1:5" ht="15.75" thickBot="1" x14ac:dyDescent="0.3">
      <c r="C116" s="44" t="s">
        <v>62</v>
      </c>
      <c r="D116" s="45">
        <v>0.11</v>
      </c>
      <c r="E116" s="48"/>
    </row>
    <row r="117" spans="1:5" ht="15.75" thickBot="1" x14ac:dyDescent="0.3">
      <c r="C117" s="44" t="s">
        <v>37</v>
      </c>
      <c r="D117" s="51">
        <f>365.24*24</f>
        <v>8765.76</v>
      </c>
    </row>
    <row r="118" spans="1:5" ht="15.75" thickBot="1" x14ac:dyDescent="0.3">
      <c r="C118" s="44" t="s">
        <v>71</v>
      </c>
      <c r="D118" s="46">
        <v>24</v>
      </c>
      <c r="E118" s="49"/>
    </row>
    <row r="119" spans="1:5" ht="15.75" thickBot="1" x14ac:dyDescent="0.3">
      <c r="C119" s="44" t="s">
        <v>73</v>
      </c>
      <c r="D119" s="46">
        <f>Days_In_Month*Hours_In_Day</f>
        <v>730.48</v>
      </c>
      <c r="E119" s="49"/>
    </row>
    <row r="120" spans="1:5" ht="15.75" thickBot="1" x14ac:dyDescent="0.3">
      <c r="C120" s="44" t="s">
        <v>72</v>
      </c>
      <c r="D120" s="46">
        <v>12</v>
      </c>
      <c r="E120" s="49"/>
    </row>
    <row r="121" spans="1:5" ht="15.75" thickBot="1" x14ac:dyDescent="0.3">
      <c r="C121" s="44" t="s">
        <v>70</v>
      </c>
      <c r="D121" s="46">
        <f>365.24/Months_In_Year</f>
        <v>30.436666666666667</v>
      </c>
    </row>
    <row r="122" spans="1:5" x14ac:dyDescent="0.25">
      <c r="C122" s="5"/>
    </row>
    <row r="123" spans="1:5" x14ac:dyDescent="0.25">
      <c r="A123" t="s">
        <v>53</v>
      </c>
    </row>
  </sheetData>
  <sortState ref="A2:O62">
    <sortCondition ref="B2:B62"/>
    <sortCondition ref="C2:C62"/>
    <sortCondition ref="E2:E62"/>
    <sortCondition ref="F2:F62"/>
  </sortState>
  <mergeCells count="6">
    <mergeCell ref="A113:B113"/>
    <mergeCell ref="O1:Q1"/>
    <mergeCell ref="M1:N1"/>
    <mergeCell ref="S1:T1"/>
    <mergeCell ref="C112:D112"/>
    <mergeCell ref="A112:B112"/>
  </mergeCells>
  <conditionalFormatting sqref="N3:N103">
    <cfRule type="top10" dxfId="6" priority="222" bottom="1" rank="20"/>
  </conditionalFormatting>
  <conditionalFormatting sqref="Q3:Q103">
    <cfRule type="top10" dxfId="5" priority="223" bottom="1" rank="20"/>
  </conditionalFormatting>
  <conditionalFormatting sqref="T3:T103">
    <cfRule type="aboveAverage" dxfId="4" priority="220" aboveAverage="0"/>
  </conditionalFormatting>
  <conditionalFormatting sqref="S3:T103">
    <cfRule type="colorScale" priority="221">
      <colorScale>
        <cfvo type="min"/>
        <cfvo type="formula" val="$S$105"/>
        <cfvo type="max"/>
        <color theme="9"/>
        <color rgb="FFFFEB84"/>
        <color theme="5"/>
      </colorScale>
    </cfRule>
  </conditionalFormatting>
  <pageMargins left="0.7" right="0.7" top="0.75" bottom="0.75" header="0.3" footer="0.3"/>
  <pageSetup orientation="portrait" verticalDpi="0" r:id="rId1"/>
  <cellWatches>
    <cellWatch r="Q4"/>
  </cellWatches>
  <ignoredErrors>
    <ignoredError sqref="I56" formula="1"/>
  </ignoredErrors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74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Drive Table</vt:lpstr>
      <vt:lpstr>Charts</vt:lpstr>
      <vt:lpstr>Active_Duty_Cycle</vt:lpstr>
      <vt:lpstr>CompareWarrYrs</vt:lpstr>
      <vt:lpstr>CostPerKWH</vt:lpstr>
      <vt:lpstr>Days_In_Month</vt:lpstr>
      <vt:lpstr>Hours_In_Day</vt:lpstr>
      <vt:lpstr>Hours_In_Month</vt:lpstr>
      <vt:lpstr>Incremental_Warr_Yr</vt:lpstr>
      <vt:lpstr>Months_In_Year</vt:lpstr>
      <vt:lpstr>Power_On_Hours_Year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Disk Price Aalysis</dc:title>
  <dc:creator/>
  <cp:lastModifiedBy/>
  <dcterms:created xsi:type="dcterms:W3CDTF">2017-03-24T23:12:53Z</dcterms:created>
  <dcterms:modified xsi:type="dcterms:W3CDTF">2017-08-12T20:38:15Z</dcterms:modified>
</cp:coreProperties>
</file>