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Default Extension="rels" ContentType="application/vnd.openxmlformats-package.relationships+xml"/>
  <Default Extension="xml" ContentType="application/xml"/>
  <Override PartName="/xl/workbook.xml" ContentType="application/vnd.openxmlformats-officedocument.spreadsheetml.sheet.main+xml"/>
  <Override PartName="/xl/charts/chart1.xml" ContentType="application/vnd.openxmlformats-officedocument.drawingml.chart+xml"/>
  <Override PartName="/xl/charts/style1.xml" ContentType="application/vnd.ms-office.chartstyle+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charts/colors1.xml" ContentType="application/vnd.ms-office.chartcolorsty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filterPrivacy="1"/>
  <bookViews>
    <workbookView xWindow="0" yWindow="0" windowWidth="21570" windowHeight="8595"/>
  </bookViews>
  <sheets>
    <sheet name="Drive Table" sheetId="1" r:id="rId1"/>
    <sheet name="Charts" sheetId="2" r:id="rId2"/>
  </sheets>
  <calcPr calcId="171027"/>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S79" i="1"/>
  <c r="S80"/>
  <c r="S81"/>
  <c r="S82"/>
  <c r="S83"/>
  <c r="S84"/>
  <c r="S85"/>
  <c r="S86"/>
  <c r="S87"/>
  <c r="S88"/>
  <c r="S89"/>
  <c r="S90"/>
  <c r="S91"/>
  <c r="S92"/>
  <c r="S93"/>
  <c r="S94"/>
  <c r="S95"/>
  <c r="S96"/>
  <c r="S78"/>
  <c r="S47"/>
  <c r="S48"/>
  <c r="S49"/>
  <c r="S50"/>
  <c r="S51"/>
  <c r="S52"/>
  <c r="S53"/>
  <c r="S54"/>
  <c r="S55"/>
  <c r="S56"/>
  <c r="S57"/>
  <c r="S58"/>
  <c r="S59"/>
  <c r="S60"/>
  <c r="S61"/>
  <c r="S62"/>
  <c r="S63"/>
  <c r="S64"/>
  <c r="S65"/>
  <c r="S66"/>
  <c r="S67"/>
  <c r="S68"/>
  <c r="S69"/>
  <c r="S70"/>
  <c r="S71"/>
  <c r="S46"/>
  <c r="S44"/>
  <c r="S43"/>
  <c r="S39"/>
  <c r="S40"/>
  <c r="S41"/>
  <c r="S36"/>
  <c r="S38"/>
  <c r="S30"/>
  <c r="S31"/>
  <c r="S32"/>
  <c r="S33"/>
  <c r="S34"/>
  <c r="S35"/>
  <c r="S17"/>
  <c r="S18"/>
  <c r="S19"/>
  <c r="S20"/>
  <c r="S21"/>
  <c r="S22"/>
  <c r="S23"/>
  <c r="S24"/>
  <c r="T24" s="1"/>
  <c r="S25"/>
  <c r="T25" s="1"/>
  <c r="S26"/>
  <c r="S27"/>
  <c r="S28"/>
  <c r="S29"/>
  <c r="S13"/>
  <c r="S14"/>
  <c r="S15"/>
  <c r="S16"/>
  <c r="S10"/>
  <c r="S11"/>
  <c r="S12"/>
  <c r="S9"/>
  <c r="Q3"/>
  <c r="Q4"/>
  <c r="Q5"/>
  <c r="Q6"/>
  <c r="Q7"/>
  <c r="Q8"/>
  <c r="Q9"/>
  <c r="Q10"/>
  <c r="Q11"/>
  <c r="Q12"/>
  <c r="Q13"/>
  <c r="Q14"/>
  <c r="Q15"/>
  <c r="Q16"/>
  <c r="Q17"/>
  <c r="Q18"/>
  <c r="Q19"/>
  <c r="Q20"/>
  <c r="Q21"/>
  <c r="Q22"/>
  <c r="Q23"/>
  <c r="Q24"/>
  <c r="Q25"/>
  <c r="Q26"/>
  <c r="Q27"/>
  <c r="Q28"/>
  <c r="Q29"/>
  <c r="Q30"/>
  <c r="Q31"/>
  <c r="Q32"/>
  <c r="Q33"/>
  <c r="Q34"/>
  <c r="Q35"/>
  <c r="Q36"/>
  <c r="Q37"/>
  <c r="Q38"/>
  <c r="Q39"/>
  <c r="Q40"/>
  <c r="Q41"/>
  <c r="Q42"/>
  <c r="Q43"/>
  <c r="Q44"/>
  <c r="Q45"/>
  <c r="Q46"/>
  <c r="Q47"/>
  <c r="Q48"/>
  <c r="Q49"/>
  <c r="Q50"/>
  <c r="Q51"/>
  <c r="Q52"/>
  <c r="Q53"/>
  <c r="Q54"/>
  <c r="Q55"/>
  <c r="Q56"/>
  <c r="Q57"/>
  <c r="Q58"/>
  <c r="Q59"/>
  <c r="Q60"/>
  <c r="Q61"/>
  <c r="Q62"/>
  <c r="Q63"/>
  <c r="Q64"/>
  <c r="Q65"/>
  <c r="Q66"/>
  <c r="Q67"/>
  <c r="Q68"/>
  <c r="Q69"/>
  <c r="Q70"/>
  <c r="Q71"/>
  <c r="Q72"/>
  <c r="Q73"/>
  <c r="Q74"/>
  <c r="Q75"/>
  <c r="Q76"/>
  <c r="Q77"/>
  <c r="Q78"/>
  <c r="Q79"/>
  <c r="Q80"/>
  <c r="Q81"/>
  <c r="Q82"/>
  <c r="Q83"/>
  <c r="Q84"/>
  <c r="Q85"/>
  <c r="Q86"/>
  <c r="Q87"/>
  <c r="Q88"/>
  <c r="Q89"/>
  <c r="Q90"/>
  <c r="Q91"/>
  <c r="Q92"/>
  <c r="Q93"/>
  <c r="Q94"/>
  <c r="Q95"/>
  <c r="Q96"/>
  <c r="D110"/>
  <c r="T26"/>
  <c r="T23"/>
  <c r="T22"/>
  <c r="I23"/>
  <c r="I22"/>
  <c r="I26"/>
  <c r="I25"/>
  <c r="I24"/>
  <c r="T27"/>
  <c r="O26"/>
  <c r="P26" s="1"/>
  <c r="N26"/>
  <c r="G26"/>
  <c r="O25"/>
  <c r="P25" s="1"/>
  <c r="N25"/>
  <c r="G25"/>
  <c r="O24"/>
  <c r="P24" s="1"/>
  <c r="N24"/>
  <c r="G24"/>
  <c r="O22"/>
  <c r="P22" s="1"/>
  <c r="N22"/>
  <c r="G22"/>
  <c r="O23"/>
  <c r="P23" s="1"/>
  <c r="N23"/>
  <c r="G23"/>
  <c r="M20" l="1"/>
  <c r="M55"/>
  <c r="L101" l="1"/>
  <c r="K101"/>
  <c r="T96"/>
  <c r="T93"/>
  <c r="T92"/>
  <c r="T89"/>
  <c r="T88"/>
  <c r="T85"/>
  <c r="T84"/>
  <c r="T81"/>
  <c r="T80"/>
  <c r="T71"/>
  <c r="T70"/>
  <c r="T68"/>
  <c r="T66"/>
  <c r="T64"/>
  <c r="T62"/>
  <c r="T60"/>
  <c r="T59"/>
  <c r="T58"/>
  <c r="T56"/>
  <c r="T54"/>
  <c r="T52"/>
  <c r="T51"/>
  <c r="T50"/>
  <c r="T48"/>
  <c r="T46"/>
  <c r="T41"/>
  <c r="T40"/>
  <c r="T38"/>
  <c r="T35"/>
  <c r="T33"/>
  <c r="T32"/>
  <c r="T31"/>
  <c r="T29"/>
  <c r="T21"/>
  <c r="T20"/>
  <c r="T19"/>
  <c r="T18"/>
  <c r="T17"/>
  <c r="T16"/>
  <c r="T14"/>
  <c r="T11"/>
  <c r="T9"/>
  <c r="G3"/>
  <c r="G4"/>
  <c r="G5"/>
  <c r="G6"/>
  <c r="G7"/>
  <c r="G8"/>
  <c r="G9"/>
  <c r="G10"/>
  <c r="G11"/>
  <c r="G12"/>
  <c r="G13"/>
  <c r="G14"/>
  <c r="G15"/>
  <c r="G16"/>
  <c r="G17"/>
  <c r="G18"/>
  <c r="G19"/>
  <c r="G20"/>
  <c r="G21"/>
  <c r="G27"/>
  <c r="G28"/>
  <c r="G29"/>
  <c r="G30"/>
  <c r="G31"/>
  <c r="G32"/>
  <c r="G33"/>
  <c r="G34"/>
  <c r="G35"/>
  <c r="G36"/>
  <c r="G37"/>
  <c r="G38"/>
  <c r="G39"/>
  <c r="G40"/>
  <c r="G41"/>
  <c r="G42"/>
  <c r="G43"/>
  <c r="G44"/>
  <c r="G45"/>
  <c r="G46"/>
  <c r="G47"/>
  <c r="G48"/>
  <c r="G49"/>
  <c r="G50"/>
  <c r="G51"/>
  <c r="G52"/>
  <c r="G53"/>
  <c r="G54"/>
  <c r="G55"/>
  <c r="G56"/>
  <c r="G57"/>
  <c r="G58"/>
  <c r="G59"/>
  <c r="G60"/>
  <c r="G61"/>
  <c r="G62"/>
  <c r="G63"/>
  <c r="G64"/>
  <c r="G65"/>
  <c r="G66"/>
  <c r="G67"/>
  <c r="G68"/>
  <c r="G69"/>
  <c r="G70"/>
  <c r="G71"/>
  <c r="G72"/>
  <c r="G73"/>
  <c r="G74"/>
  <c r="G75"/>
  <c r="G76"/>
  <c r="G77"/>
  <c r="G78"/>
  <c r="G79"/>
  <c r="G80"/>
  <c r="G81"/>
  <c r="G82"/>
  <c r="G83"/>
  <c r="G84"/>
  <c r="G85"/>
  <c r="G86"/>
  <c r="G87"/>
  <c r="G88"/>
  <c r="G89"/>
  <c r="G90"/>
  <c r="G91"/>
  <c r="G92"/>
  <c r="G93"/>
  <c r="G94"/>
  <c r="G95"/>
  <c r="G96"/>
  <c r="O3"/>
  <c r="P3" s="1"/>
  <c r="O4"/>
  <c r="P4" s="1"/>
  <c r="O5"/>
  <c r="P5" s="1"/>
  <c r="O6"/>
  <c r="P6" s="1"/>
  <c r="O7"/>
  <c r="P7" s="1"/>
  <c r="O8"/>
  <c r="P8" s="1"/>
  <c r="O9"/>
  <c r="P9" s="1"/>
  <c r="O10"/>
  <c r="P10" s="1"/>
  <c r="O11"/>
  <c r="P11" s="1"/>
  <c r="O12"/>
  <c r="P12" s="1"/>
  <c r="O13"/>
  <c r="P13" s="1"/>
  <c r="O14"/>
  <c r="P14" s="1"/>
  <c r="O15"/>
  <c r="P15" s="1"/>
  <c r="O16"/>
  <c r="P16" s="1"/>
  <c r="O17"/>
  <c r="P17" s="1"/>
  <c r="O18"/>
  <c r="P18" s="1"/>
  <c r="O19"/>
  <c r="P19" s="1"/>
  <c r="O20"/>
  <c r="P20" s="1"/>
  <c r="O21"/>
  <c r="P21" s="1"/>
  <c r="O27"/>
  <c r="P27" s="1"/>
  <c r="O28"/>
  <c r="P28" s="1"/>
  <c r="O29"/>
  <c r="P29" s="1"/>
  <c r="O30"/>
  <c r="P30" s="1"/>
  <c r="O31"/>
  <c r="P31" s="1"/>
  <c r="O32"/>
  <c r="P32" s="1"/>
  <c r="O33"/>
  <c r="P33" s="1"/>
  <c r="O34"/>
  <c r="P34" s="1"/>
  <c r="O35"/>
  <c r="P35" s="1"/>
  <c r="O36"/>
  <c r="P36" s="1"/>
  <c r="O37"/>
  <c r="P37" s="1"/>
  <c r="O38"/>
  <c r="P38" s="1"/>
  <c r="O39"/>
  <c r="P39" s="1"/>
  <c r="O40"/>
  <c r="P40" s="1"/>
  <c r="O41"/>
  <c r="P41" s="1"/>
  <c r="O42"/>
  <c r="P42" s="1"/>
  <c r="O43"/>
  <c r="P43" s="1"/>
  <c r="O44"/>
  <c r="P44" s="1"/>
  <c r="O45"/>
  <c r="P45" s="1"/>
  <c r="O46"/>
  <c r="P46" s="1"/>
  <c r="O47"/>
  <c r="P47" s="1"/>
  <c r="O48"/>
  <c r="P48" s="1"/>
  <c r="O49"/>
  <c r="P49" s="1"/>
  <c r="O50"/>
  <c r="P50" s="1"/>
  <c r="O51"/>
  <c r="P51" s="1"/>
  <c r="O52"/>
  <c r="P52" s="1"/>
  <c r="O53"/>
  <c r="P53" s="1"/>
  <c r="O54"/>
  <c r="P54" s="1"/>
  <c r="O55"/>
  <c r="P55" s="1"/>
  <c r="O56"/>
  <c r="P56" s="1"/>
  <c r="O57"/>
  <c r="P57" s="1"/>
  <c r="O58"/>
  <c r="P58" s="1"/>
  <c r="O59"/>
  <c r="P59" s="1"/>
  <c r="O60"/>
  <c r="P60" s="1"/>
  <c r="O61"/>
  <c r="P61" s="1"/>
  <c r="O62"/>
  <c r="P62" s="1"/>
  <c r="O63"/>
  <c r="P63" s="1"/>
  <c r="O64"/>
  <c r="P64" s="1"/>
  <c r="O65"/>
  <c r="P65" s="1"/>
  <c r="O66"/>
  <c r="P66" s="1"/>
  <c r="O67"/>
  <c r="P67" s="1"/>
  <c r="O68"/>
  <c r="P68" s="1"/>
  <c r="O69"/>
  <c r="P69" s="1"/>
  <c r="O70"/>
  <c r="P70" s="1"/>
  <c r="O71"/>
  <c r="P71" s="1"/>
  <c r="O72"/>
  <c r="P72" s="1"/>
  <c r="O73"/>
  <c r="P73" s="1"/>
  <c r="O74"/>
  <c r="P74" s="1"/>
  <c r="O75"/>
  <c r="P75" s="1"/>
  <c r="O76"/>
  <c r="P76" s="1"/>
  <c r="O77"/>
  <c r="P77" s="1"/>
  <c r="O78"/>
  <c r="P78" s="1"/>
  <c r="O79"/>
  <c r="P79" s="1"/>
  <c r="O80"/>
  <c r="P80" s="1"/>
  <c r="O81"/>
  <c r="P81" s="1"/>
  <c r="O82"/>
  <c r="P82" s="1"/>
  <c r="O83"/>
  <c r="P83" s="1"/>
  <c r="O84"/>
  <c r="P84" s="1"/>
  <c r="O85"/>
  <c r="P85" s="1"/>
  <c r="O86"/>
  <c r="P86" s="1"/>
  <c r="O87"/>
  <c r="P87" s="1"/>
  <c r="O88"/>
  <c r="P88" s="1"/>
  <c r="O89"/>
  <c r="P89" s="1"/>
  <c r="O90"/>
  <c r="P90" s="1"/>
  <c r="O91"/>
  <c r="P91" s="1"/>
  <c r="O92"/>
  <c r="P92" s="1"/>
  <c r="O93"/>
  <c r="P93" s="1"/>
  <c r="O94"/>
  <c r="P94" s="1"/>
  <c r="O95"/>
  <c r="P95" s="1"/>
  <c r="O96"/>
  <c r="P96" s="1"/>
  <c r="N3"/>
  <c r="N4"/>
  <c r="N5"/>
  <c r="N6"/>
  <c r="N7"/>
  <c r="N8"/>
  <c r="N9"/>
  <c r="N10"/>
  <c r="N11"/>
  <c r="N12"/>
  <c r="N13"/>
  <c r="N14"/>
  <c r="N15"/>
  <c r="N16"/>
  <c r="N17"/>
  <c r="N18"/>
  <c r="N19"/>
  <c r="N20"/>
  <c r="N21"/>
  <c r="N27"/>
  <c r="N28"/>
  <c r="N29"/>
  <c r="N30"/>
  <c r="N31"/>
  <c r="N32"/>
  <c r="N33"/>
  <c r="N34"/>
  <c r="N35"/>
  <c r="N36"/>
  <c r="N37"/>
  <c r="N38"/>
  <c r="N39"/>
  <c r="N40"/>
  <c r="N41"/>
  <c r="N42"/>
  <c r="N43"/>
  <c r="N44"/>
  <c r="N45"/>
  <c r="N46"/>
  <c r="N47"/>
  <c r="N48"/>
  <c r="N49"/>
  <c r="N50"/>
  <c r="N51"/>
  <c r="N52"/>
  <c r="N53"/>
  <c r="N54"/>
  <c r="N55"/>
  <c r="N56"/>
  <c r="N57"/>
  <c r="N58"/>
  <c r="N59"/>
  <c r="N60"/>
  <c r="N61"/>
  <c r="N62"/>
  <c r="N63"/>
  <c r="N64"/>
  <c r="N65"/>
  <c r="N66"/>
  <c r="N67"/>
  <c r="N68"/>
  <c r="N69"/>
  <c r="N70"/>
  <c r="N71"/>
  <c r="N72"/>
  <c r="N73"/>
  <c r="N74"/>
  <c r="N75"/>
  <c r="N76"/>
  <c r="N77"/>
  <c r="N78"/>
  <c r="N79"/>
  <c r="N80"/>
  <c r="N81"/>
  <c r="N82"/>
  <c r="N83"/>
  <c r="N84"/>
  <c r="N85"/>
  <c r="N86"/>
  <c r="N87"/>
  <c r="N88"/>
  <c r="N89"/>
  <c r="N90"/>
  <c r="N91"/>
  <c r="N92"/>
  <c r="N93"/>
  <c r="N94"/>
  <c r="N95"/>
  <c r="N96"/>
  <c r="T10"/>
  <c r="T13"/>
  <c r="T15"/>
  <c r="T28"/>
  <c r="T30"/>
  <c r="T34"/>
  <c r="T36"/>
  <c r="T39"/>
  <c r="T43"/>
  <c r="T44"/>
  <c r="T47"/>
  <c r="T49"/>
  <c r="T53"/>
  <c r="T55"/>
  <c r="T57"/>
  <c r="T61"/>
  <c r="T63"/>
  <c r="T65"/>
  <c r="T67"/>
  <c r="T69"/>
  <c r="T78"/>
  <c r="T79"/>
  <c r="T82"/>
  <c r="T83"/>
  <c r="T86"/>
  <c r="T87"/>
  <c r="T90"/>
  <c r="T91"/>
  <c r="T94"/>
  <c r="T95"/>
  <c r="N101" l="1"/>
  <c r="Q101"/>
  <c r="P101"/>
  <c r="T12"/>
  <c r="T98" s="1"/>
  <c r="T99"/>
  <c r="L33"/>
  <c r="L35"/>
  <c r="L36"/>
  <c r="L34"/>
  <c r="I34"/>
  <c r="I35"/>
  <c r="I36"/>
  <c r="I33"/>
  <c r="T97" l="1"/>
  <c r="T101"/>
  <c r="T100"/>
  <c r="I50" l="1"/>
  <c r="M96" l="1"/>
  <c r="M17"/>
  <c r="I32" l="1"/>
  <c r="I31"/>
  <c r="I30"/>
  <c r="I29"/>
  <c r="I28"/>
  <c r="I27"/>
  <c r="I96" l="1"/>
  <c r="J101" l="1"/>
  <c r="I4" l="1"/>
  <c r="I5"/>
  <c r="I6"/>
  <c r="I7"/>
  <c r="I3"/>
  <c r="I38"/>
  <c r="I39"/>
  <c r="I40"/>
  <c r="I41"/>
  <c r="I42"/>
  <c r="I61"/>
  <c r="I60"/>
  <c r="I59"/>
  <c r="I58"/>
  <c r="I57"/>
  <c r="I51"/>
  <c r="I52"/>
  <c r="I53"/>
  <c r="I54"/>
  <c r="I55"/>
  <c r="I56"/>
  <c r="I94"/>
  <c r="I91"/>
  <c r="I92"/>
  <c r="I93"/>
  <c r="I95"/>
  <c r="I90"/>
  <c r="I89"/>
  <c r="I88"/>
  <c r="I87"/>
  <c r="I86"/>
  <c r="I85"/>
  <c r="I84"/>
  <c r="I101" l="1"/>
  <c r="I98"/>
  <c r="I97"/>
  <c r="I100"/>
  <c r="I99"/>
  <c r="M77" l="1"/>
  <c r="A106" l="1"/>
  <c r="K99"/>
  <c r="L99"/>
  <c r="J99"/>
  <c r="K100"/>
  <c r="L100"/>
  <c r="K97"/>
  <c r="L97"/>
  <c r="J100"/>
  <c r="J97"/>
  <c r="P99" l="1"/>
  <c r="P97"/>
  <c r="P100"/>
  <c r="P98"/>
  <c r="L98"/>
  <c r="K98"/>
  <c r="J98"/>
  <c r="Q99" l="1"/>
  <c r="Q98"/>
  <c r="Q100"/>
  <c r="Q97"/>
  <c r="S101" l="1"/>
  <c r="S99"/>
  <c r="S98"/>
  <c r="S100"/>
  <c r="S97"/>
  <c r="N99" l="1"/>
  <c r="N97"/>
  <c r="N100"/>
  <c r="N98"/>
</calcChain>
</file>

<file path=xl/sharedStrings.xml><?xml version="1.0" encoding="utf-8"?>
<sst xmlns="http://schemas.openxmlformats.org/spreadsheetml/2006/main" count="293" uniqueCount="70">
  <si>
    <t>Date</t>
  </si>
  <si>
    <t>Manu</t>
  </si>
  <si>
    <t>Cost</t>
  </si>
  <si>
    <t>$ TB</t>
  </si>
  <si>
    <t>Model</t>
  </si>
  <si>
    <t>Black</t>
  </si>
  <si>
    <t>WD</t>
  </si>
  <si>
    <t>RPM</t>
  </si>
  <si>
    <t>Watts Active</t>
  </si>
  <si>
    <t>Watts Idle</t>
  </si>
  <si>
    <t>Red NAS HOME</t>
  </si>
  <si>
    <t>Seagate</t>
  </si>
  <si>
    <t>BarraCuda</t>
  </si>
  <si>
    <t>RED NAS Pro</t>
  </si>
  <si>
    <t>IronWolf</t>
  </si>
  <si>
    <t>Terascale</t>
  </si>
  <si>
    <t>HGST</t>
  </si>
  <si>
    <t>Deskstar NAS</t>
  </si>
  <si>
    <t>IronWolf Pro</t>
  </si>
  <si>
    <t>BarraCuda Pro</t>
  </si>
  <si>
    <t>$/KWH</t>
  </si>
  <si>
    <t>Enterprise NAS</t>
  </si>
  <si>
    <t>Archive</t>
  </si>
  <si>
    <t>$ TB/year</t>
  </si>
  <si>
    <t>WORK IN PROGRESS</t>
  </si>
  <si>
    <t>Energy$year</t>
  </si>
  <si>
    <t>MEDIAN</t>
  </si>
  <si>
    <t>MIN</t>
  </si>
  <si>
    <t>MAX</t>
  </si>
  <si>
    <t>Most Recent Update</t>
  </si>
  <si>
    <t>Warnty</t>
  </si>
  <si>
    <t>PerfCmp54</t>
  </si>
  <si>
    <t>SizTB</t>
  </si>
  <si>
    <t>Ultrastar 7K6</t>
  </si>
  <si>
    <t>Ultrastar Archive Ha10</t>
  </si>
  <si>
    <t>Blue</t>
  </si>
  <si>
    <t>Active Duty Cycle</t>
  </si>
  <si>
    <t>Power On Hours Year</t>
  </si>
  <si>
    <t>TBD</t>
  </si>
  <si>
    <t>WattsStandby</t>
  </si>
  <si>
    <t>Enterprise NAS 2.5"</t>
  </si>
  <si>
    <t>Enterprise NAS Helium</t>
  </si>
  <si>
    <t>Comp $/Perf/Size</t>
  </si>
  <si>
    <t>$+Warr</t>
  </si>
  <si>
    <t>Actual</t>
  </si>
  <si>
    <t>CompareWarrYrs</t>
  </si>
  <si>
    <t>AVG</t>
  </si>
  <si>
    <t>MaxStartupWatts</t>
  </si>
  <si>
    <t>Warranty_Normalized_Computed</t>
  </si>
  <si>
    <t>NAND Cache</t>
  </si>
  <si>
    <t>Helium filled</t>
  </si>
  <si>
    <t>COUNT</t>
  </si>
  <si>
    <t>Ultrastar C10K1800 2.5"</t>
  </si>
  <si>
    <t>See http://hdd.userbenchmark.com for disk drive comparisons</t>
  </si>
  <si>
    <t>Notes</t>
  </si>
  <si>
    <t>Toshiba</t>
  </si>
  <si>
    <t>N300</t>
  </si>
  <si>
    <t>Gold Datacenter</t>
  </si>
  <si>
    <t>FireCuda SSHD</t>
  </si>
  <si>
    <t>8GiB NAND</t>
  </si>
  <si>
    <t>FireCuda SSHD 2.5"</t>
  </si>
  <si>
    <t>Travelstar 2.5"</t>
  </si>
  <si>
    <t>Incremental$Warr/Yr</t>
  </si>
  <si>
    <t xml:space="preserve">Constellation ES.3 </t>
  </si>
  <si>
    <t>Energy$yearPerTB</t>
  </si>
  <si>
    <t>$PerTB</t>
  </si>
  <si>
    <t>BarraCuda 2.5"</t>
  </si>
  <si>
    <t>Energy</t>
  </si>
  <si>
    <t>Type</t>
  </si>
  <si>
    <t>NAS</t>
  </si>
</sst>
</file>

<file path=xl/styles.xml><?xml version="1.0" encoding="utf-8"?>
<styleSheet xmlns="http://schemas.openxmlformats.org/spreadsheetml/2006/main">
  <numFmts count="5">
    <numFmt numFmtId="8" formatCode="&quot;$&quot;#,##0.00_);[Red]\(&quot;$&quot;#,##0.00\)"/>
    <numFmt numFmtId="44" formatCode="_(&quot;$&quot;* #,##0.00_);_(&quot;$&quot;* \(#,##0.00\);_(&quot;$&quot;* &quot;-&quot;??_);_(@_)"/>
    <numFmt numFmtId="164" formatCode="&quot;$&quot;#,##0.00"/>
    <numFmt numFmtId="165" formatCode="mm/dd/yy;@"/>
    <numFmt numFmtId="166" formatCode="&quot;$&quot;#,##0.000_);[Red]\(&quot;$&quot;#,##0.000\)"/>
  </numFmts>
  <fonts count="5">
    <font>
      <sz val="11"/>
      <color theme="1"/>
      <name val="Calibri"/>
      <family val="2"/>
      <scheme val="minor"/>
    </font>
    <font>
      <b/>
      <sz val="11"/>
      <color theme="1"/>
      <name val="Calibri"/>
      <family val="2"/>
      <scheme val="minor"/>
    </font>
    <font>
      <b/>
      <sz val="11"/>
      <color theme="0"/>
      <name val="Calibri"/>
      <family val="2"/>
      <scheme val="minor"/>
    </font>
    <font>
      <b/>
      <sz val="11"/>
      <color theme="1"/>
      <name val="Calibri"/>
      <scheme val="minor"/>
    </font>
    <font>
      <sz val="11"/>
      <name val="Calibri"/>
      <family val="2"/>
      <scheme val="minor"/>
    </font>
  </fonts>
  <fills count="7">
    <fill>
      <patternFill patternType="none"/>
    </fill>
    <fill>
      <patternFill patternType="gray125"/>
    </fill>
    <fill>
      <patternFill patternType="solid">
        <fgColor theme="9" tint="0.79998168889431442"/>
        <bgColor indexed="64"/>
      </patternFill>
    </fill>
    <fill>
      <patternFill patternType="solid">
        <fgColor rgb="FFC00000"/>
        <bgColor indexed="64"/>
      </patternFill>
    </fill>
    <fill>
      <patternFill patternType="solid">
        <fgColor theme="4" tint="0.59996337778862885"/>
        <bgColor indexed="64"/>
      </patternFill>
    </fill>
    <fill>
      <patternFill patternType="solid">
        <fgColor theme="5" tint="0.79998168889431442"/>
        <bgColor indexed="64"/>
      </patternFill>
    </fill>
    <fill>
      <patternFill patternType="solid">
        <fgColor rgb="FFFFFF00"/>
        <bgColor indexed="64"/>
      </patternFill>
    </fill>
  </fills>
  <borders count="31">
    <border>
      <left/>
      <right/>
      <top/>
      <bottom/>
      <diagonal/>
    </border>
    <border>
      <left/>
      <right/>
      <top style="thick">
        <color auto="1"/>
      </top>
      <bottom/>
      <diagonal/>
    </border>
    <border>
      <left style="thin">
        <color auto="1"/>
      </left>
      <right style="thin">
        <color auto="1"/>
      </right>
      <top style="thin">
        <color auto="1"/>
      </top>
      <bottom style="thick">
        <color auto="1"/>
      </bottom>
      <diagonal/>
    </border>
    <border>
      <left style="thin">
        <color auto="1"/>
      </left>
      <right/>
      <top style="thin">
        <color auto="1"/>
      </top>
      <bottom style="thick">
        <color auto="1"/>
      </bottom>
      <diagonal/>
    </border>
    <border>
      <left/>
      <right/>
      <top/>
      <bottom style="thick">
        <color auto="1"/>
      </bottom>
      <diagonal/>
    </border>
    <border>
      <left/>
      <right style="thin">
        <color auto="1"/>
      </right>
      <top style="thin">
        <color auto="1"/>
      </top>
      <bottom style="thick">
        <color auto="1"/>
      </bottom>
      <diagonal/>
    </border>
    <border>
      <left/>
      <right style="medium">
        <color auto="1"/>
      </right>
      <top/>
      <bottom/>
      <diagonal/>
    </border>
    <border>
      <left style="thick">
        <color auto="1"/>
      </left>
      <right/>
      <top style="thick">
        <color auto="1"/>
      </top>
      <bottom/>
      <diagonal/>
    </border>
    <border>
      <left style="thick">
        <color auto="1"/>
      </left>
      <right/>
      <top/>
      <bottom/>
      <diagonal/>
    </border>
    <border>
      <left/>
      <right style="thick">
        <color auto="1"/>
      </right>
      <top style="thick">
        <color auto="1"/>
      </top>
      <bottom/>
      <diagonal/>
    </border>
    <border>
      <left style="thick">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n">
        <color auto="1"/>
      </right>
      <top style="thin">
        <color auto="1"/>
      </top>
      <bottom/>
      <diagonal/>
    </border>
    <border>
      <left style="thin">
        <color auto="1"/>
      </left>
      <right/>
      <top style="thin">
        <color auto="1"/>
      </top>
      <bottom/>
      <diagonal/>
    </border>
    <border>
      <left style="medium">
        <color auto="1"/>
      </left>
      <right style="medium">
        <color theme="4" tint="0.39994506668294322"/>
      </right>
      <top style="medium">
        <color theme="4" tint="0.79998168889431442"/>
      </top>
      <bottom style="medium">
        <color theme="4" tint="0.39994506668294322"/>
      </bottom>
      <diagonal/>
    </border>
    <border>
      <left style="medium">
        <color theme="4" tint="0.39994506668294322"/>
      </left>
      <right style="medium">
        <color theme="4" tint="0.39994506668294322"/>
      </right>
      <top style="medium">
        <color theme="4" tint="0.79998168889431442"/>
      </top>
      <bottom style="medium">
        <color theme="4" tint="0.39994506668294322"/>
      </bottom>
      <diagonal/>
    </border>
    <border>
      <left style="medium">
        <color theme="4" tint="0.39994506668294322"/>
      </left>
      <right style="medium">
        <color auto="1"/>
      </right>
      <top style="medium">
        <color theme="4" tint="0.79998168889431442"/>
      </top>
      <bottom style="medium">
        <color theme="4" tint="0.39994506668294322"/>
      </bottom>
      <diagonal/>
    </border>
    <border>
      <left style="medium">
        <color auto="1"/>
      </left>
      <right style="medium">
        <color theme="4" tint="0.39994506668294322"/>
      </right>
      <top style="medium">
        <color theme="4" tint="0.39994506668294322"/>
      </top>
      <bottom style="medium">
        <color theme="4" tint="0.39994506668294322"/>
      </bottom>
      <diagonal/>
    </border>
    <border>
      <left style="medium">
        <color theme="4" tint="0.39994506668294322"/>
      </left>
      <right style="medium">
        <color theme="4" tint="0.39994506668294322"/>
      </right>
      <top style="medium">
        <color theme="4" tint="0.39994506668294322"/>
      </top>
      <bottom style="medium">
        <color theme="4" tint="0.39994506668294322"/>
      </bottom>
      <diagonal/>
    </border>
    <border>
      <left style="medium">
        <color theme="4" tint="0.39994506668294322"/>
      </left>
      <right style="medium">
        <color auto="1"/>
      </right>
      <top style="medium">
        <color theme="4" tint="0.39994506668294322"/>
      </top>
      <bottom style="medium">
        <color theme="4" tint="0.39994506668294322"/>
      </bottom>
      <diagonal/>
    </border>
    <border>
      <left style="medium">
        <color auto="1"/>
      </left>
      <right style="medium">
        <color theme="4" tint="0.39994506668294322"/>
      </right>
      <top style="medium">
        <color theme="4" tint="0.39994506668294322"/>
      </top>
      <bottom style="medium">
        <color auto="1"/>
      </bottom>
      <diagonal/>
    </border>
    <border>
      <left style="medium">
        <color theme="4" tint="0.39994506668294322"/>
      </left>
      <right style="medium">
        <color theme="4" tint="0.39994506668294322"/>
      </right>
      <top style="medium">
        <color theme="4" tint="0.39994506668294322"/>
      </top>
      <bottom style="medium">
        <color auto="1"/>
      </bottom>
      <diagonal/>
    </border>
    <border>
      <left style="medium">
        <color theme="4" tint="0.39994506668294322"/>
      </left>
      <right style="medium">
        <color auto="1"/>
      </right>
      <top style="medium">
        <color theme="4" tint="0.39994506668294322"/>
      </top>
      <bottom style="medium">
        <color auto="1"/>
      </bottom>
      <diagonal/>
    </border>
    <border>
      <left/>
      <right/>
      <top style="thin">
        <color auto="1"/>
      </top>
      <bottom/>
      <diagonal/>
    </border>
    <border>
      <left style="thin">
        <color auto="1"/>
      </left>
      <right style="thin">
        <color auto="1"/>
      </right>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s>
  <cellStyleXfs count="1">
    <xf numFmtId="0" fontId="0" fillId="0" borderId="0"/>
  </cellStyleXfs>
  <cellXfs count="64">
    <xf numFmtId="0" fontId="0" fillId="0" borderId="0" xfId="0"/>
    <xf numFmtId="14" fontId="0" fillId="0" borderId="0" xfId="0" applyNumberFormat="1"/>
    <xf numFmtId="9" fontId="0" fillId="0" borderId="0" xfId="0" applyNumberFormat="1"/>
    <xf numFmtId="0" fontId="1" fillId="0" borderId="0" xfId="0" applyFont="1" applyAlignment="1">
      <alignment horizontal="center"/>
    </xf>
    <xf numFmtId="8" fontId="0" fillId="0" borderId="0" xfId="0" applyNumberFormat="1"/>
    <xf numFmtId="0" fontId="1" fillId="0" borderId="0" xfId="0" applyFont="1"/>
    <xf numFmtId="0" fontId="0" fillId="0" borderId="0" xfId="0" applyFill="1"/>
    <xf numFmtId="0" fontId="0" fillId="0" borderId="0" xfId="0" applyFill="1" applyBorder="1"/>
    <xf numFmtId="2" fontId="0" fillId="0" borderId="0" xfId="0" applyNumberFormat="1" applyBorder="1"/>
    <xf numFmtId="164" fontId="0" fillId="0" borderId="0" xfId="0" applyNumberFormat="1" applyFill="1" applyBorder="1"/>
    <xf numFmtId="0" fontId="0" fillId="0" borderId="0" xfId="0" applyBorder="1"/>
    <xf numFmtId="8" fontId="0" fillId="0" borderId="0" xfId="0" applyNumberFormat="1" applyBorder="1"/>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1" fillId="2" borderId="5" xfId="0" applyFont="1" applyFill="1" applyBorder="1" applyAlignment="1">
      <alignment horizontal="center"/>
    </xf>
    <xf numFmtId="164" fontId="0" fillId="0" borderId="6" xfId="0" applyNumberFormat="1" applyFill="1" applyBorder="1"/>
    <xf numFmtId="164" fontId="0" fillId="0" borderId="8" xfId="0" applyNumberFormat="1" applyFill="1" applyBorder="1"/>
    <xf numFmtId="164" fontId="0" fillId="0" borderId="7" xfId="0" applyNumberFormat="1" applyBorder="1"/>
    <xf numFmtId="164" fontId="0" fillId="0" borderId="8" xfId="0" applyNumberFormat="1" applyBorder="1"/>
    <xf numFmtId="8" fontId="0" fillId="0" borderId="0" xfId="0" applyNumberFormat="1" applyFill="1" applyBorder="1"/>
    <xf numFmtId="2" fontId="0" fillId="0" borderId="0" xfId="0" applyNumberFormat="1" applyBorder="1" applyAlignment="1">
      <alignment horizontal="center"/>
    </xf>
    <xf numFmtId="2" fontId="0" fillId="0" borderId="0" xfId="0" applyNumberFormat="1" applyBorder="1" applyAlignment="1"/>
    <xf numFmtId="0" fontId="1" fillId="2" borderId="10" xfId="0" applyFont="1" applyFill="1" applyBorder="1" applyAlignment="1">
      <alignment horizontal="center"/>
    </xf>
    <xf numFmtId="0" fontId="1" fillId="2" borderId="11" xfId="0" applyFont="1" applyFill="1" applyBorder="1" applyAlignment="1">
      <alignment horizontal="center"/>
    </xf>
    <xf numFmtId="165" fontId="1" fillId="0" borderId="0" xfId="0" applyNumberFormat="1" applyFont="1"/>
    <xf numFmtId="0" fontId="1" fillId="2" borderId="12" xfId="0" applyFont="1" applyFill="1" applyBorder="1" applyAlignment="1">
      <alignment horizontal="center"/>
    </xf>
    <xf numFmtId="0" fontId="1" fillId="2" borderId="13" xfId="0" applyFont="1" applyFill="1" applyBorder="1" applyAlignment="1">
      <alignment horizontal="center"/>
    </xf>
    <xf numFmtId="0" fontId="1" fillId="2" borderId="14" xfId="0" applyFont="1" applyFill="1" applyBorder="1" applyAlignment="1">
      <alignment horizontal="center"/>
    </xf>
    <xf numFmtId="2" fontId="0" fillId="0" borderId="0" xfId="0" applyNumberFormat="1"/>
    <xf numFmtId="0" fontId="0" fillId="0" borderId="0" xfId="0" applyNumberFormat="1" applyBorder="1"/>
    <xf numFmtId="0" fontId="3" fillId="2" borderId="4" xfId="0" applyFont="1" applyFill="1" applyBorder="1" applyAlignment="1">
      <alignment horizontal="center"/>
    </xf>
    <xf numFmtId="0" fontId="1" fillId="4" borderId="15" xfId="0" applyFont="1" applyFill="1" applyBorder="1"/>
    <xf numFmtId="2" fontId="1" fillId="4" borderId="16" xfId="0" applyNumberFormat="1" applyFont="1" applyFill="1" applyBorder="1"/>
    <xf numFmtId="44" fontId="1" fillId="4" borderId="16" xfId="0" applyNumberFormat="1" applyFont="1" applyFill="1" applyBorder="1"/>
    <xf numFmtId="0" fontId="1" fillId="4" borderId="16" xfId="0" applyFont="1" applyFill="1" applyBorder="1"/>
    <xf numFmtId="44" fontId="1" fillId="4" borderId="17" xfId="0" applyNumberFormat="1" applyFont="1" applyFill="1" applyBorder="1"/>
    <xf numFmtId="0" fontId="1" fillId="4" borderId="18" xfId="0" applyFont="1" applyFill="1" applyBorder="1"/>
    <xf numFmtId="2" fontId="1" fillId="4" borderId="19" xfId="0" applyNumberFormat="1" applyFont="1" applyFill="1" applyBorder="1"/>
    <xf numFmtId="0" fontId="1" fillId="4" borderId="19" xfId="0" applyFont="1" applyFill="1" applyBorder="1"/>
    <xf numFmtId="44" fontId="1" fillId="4" borderId="19" xfId="0" applyNumberFormat="1" applyFont="1" applyFill="1" applyBorder="1"/>
    <xf numFmtId="44" fontId="1" fillId="4" borderId="20" xfId="0" applyNumberFormat="1" applyFont="1" applyFill="1" applyBorder="1"/>
    <xf numFmtId="0" fontId="0" fillId="4" borderId="19" xfId="0" applyFill="1" applyBorder="1"/>
    <xf numFmtId="0" fontId="1" fillId="4" borderId="21" xfId="0" applyFont="1" applyFill="1" applyBorder="1"/>
    <xf numFmtId="0" fontId="1" fillId="4" borderId="22" xfId="0" applyFont="1" applyFill="1" applyBorder="1"/>
    <xf numFmtId="0" fontId="0" fillId="4" borderId="22" xfId="0" applyFill="1" applyBorder="1"/>
    <xf numFmtId="0" fontId="1" fillId="4" borderId="23" xfId="0" applyFont="1" applyFill="1" applyBorder="1"/>
    <xf numFmtId="0" fontId="1" fillId="2" borderId="24" xfId="0" applyFont="1" applyFill="1" applyBorder="1" applyAlignment="1">
      <alignment horizontal="center"/>
    </xf>
    <xf numFmtId="0" fontId="1" fillId="2" borderId="25" xfId="0" applyFont="1" applyFill="1" applyBorder="1" applyAlignment="1">
      <alignment horizontal="center"/>
    </xf>
    <xf numFmtId="0" fontId="0" fillId="5" borderId="28" xfId="0" applyFill="1" applyBorder="1"/>
    <xf numFmtId="166" fontId="0" fillId="6" borderId="28" xfId="0" applyNumberFormat="1" applyFill="1" applyBorder="1"/>
    <xf numFmtId="9" fontId="0" fillId="6" borderId="28" xfId="0" applyNumberFormat="1" applyFill="1" applyBorder="1"/>
    <xf numFmtId="0" fontId="0" fillId="6" borderId="28" xfId="0" applyFill="1" applyBorder="1"/>
    <xf numFmtId="166" fontId="4" fillId="0" borderId="0" xfId="0" applyNumberFormat="1" applyFont="1" applyFill="1" applyBorder="1"/>
    <xf numFmtId="9" fontId="4" fillId="0" borderId="0" xfId="0" applyNumberFormat="1" applyFont="1" applyFill="1" applyBorder="1"/>
    <xf numFmtId="0" fontId="4" fillId="0" borderId="0" xfId="0" applyFont="1" applyFill="1" applyBorder="1"/>
    <xf numFmtId="0" fontId="0" fillId="0" borderId="0" xfId="0" applyAlignment="1">
      <alignment horizontal="center"/>
    </xf>
    <xf numFmtId="0" fontId="1" fillId="2" borderId="7" xfId="0" applyFont="1" applyFill="1" applyBorder="1" applyAlignment="1">
      <alignment horizontal="center"/>
    </xf>
    <xf numFmtId="0" fontId="0" fillId="0" borderId="1" xfId="0" applyBorder="1" applyAlignment="1">
      <alignment horizontal="center"/>
    </xf>
    <xf numFmtId="0" fontId="0" fillId="0" borderId="9" xfId="0" applyBorder="1" applyAlignment="1">
      <alignment horizontal="center"/>
    </xf>
    <xf numFmtId="0" fontId="1" fillId="2" borderId="26" xfId="0" applyFont="1" applyFill="1" applyBorder="1" applyAlignment="1">
      <alignment horizontal="center" vertical="center"/>
    </xf>
    <xf numFmtId="0" fontId="0" fillId="0" borderId="27" xfId="0" applyBorder="1" applyAlignment="1">
      <alignment horizontal="center" vertical="center"/>
    </xf>
    <xf numFmtId="0" fontId="2" fillId="3" borderId="29" xfId="0" applyFont="1" applyFill="1" applyBorder="1" applyAlignment="1">
      <alignment horizontal="center"/>
    </xf>
    <xf numFmtId="0" fontId="0" fillId="0" borderId="30" xfId="0" applyBorder="1" applyAlignment="1">
      <alignment horizontal="center"/>
    </xf>
  </cellXfs>
  <cellStyles count="1">
    <cellStyle name="Normal" xfId="0" builtinId="0"/>
  </cellStyles>
  <dxfs count="22">
    <dxf>
      <numFmt numFmtId="12" formatCode="&quot;$&quot;#,##0.00_);[Red]\(&quot;$&quot;#,##0.00\)"/>
    </dxf>
    <dxf>
      <numFmt numFmtId="12" formatCode="&quot;$&quot;#,##0.00_);[Red]\(&quot;$&quot;#,##0.00\)"/>
    </dxf>
    <dxf>
      <numFmt numFmtId="0" formatCode="General"/>
    </dxf>
    <dxf>
      <numFmt numFmtId="164" formatCode="&quot;$&quot;#,##0.00"/>
      <fill>
        <patternFill patternType="none">
          <fgColor indexed="64"/>
          <bgColor indexed="65"/>
        </patternFill>
      </fill>
      <border diagonalUp="0" diagonalDown="0">
        <left/>
        <right style="medium">
          <color auto="1"/>
        </right>
        <top/>
        <bottom/>
        <vertical/>
        <horizontal/>
      </border>
    </dxf>
    <dxf>
      <numFmt numFmtId="164" formatCode="&quot;$&quot;#,##0.00"/>
      <fill>
        <patternFill patternType="none">
          <fgColor indexed="64"/>
          <bgColor indexed="65"/>
        </patternFill>
      </fill>
    </dxf>
    <dxf>
      <numFmt numFmtId="164" formatCode="&quot;$&quot;#,##0.00"/>
      <fill>
        <patternFill patternType="none">
          <fgColor indexed="64"/>
          <bgColor indexed="65"/>
        </patternFill>
      </fill>
      <border diagonalUp="0" diagonalDown="0">
        <left style="thick">
          <color auto="1"/>
        </left>
        <right/>
        <top/>
        <bottom/>
        <vertical/>
        <horizontal/>
      </border>
    </dxf>
    <dxf>
      <numFmt numFmtId="164" formatCode="&quot;$&quot;#,##0.00"/>
      <fill>
        <patternFill patternType="none">
          <fgColor indexed="64"/>
          <bgColor indexed="65"/>
        </patternFill>
      </fill>
      <border diagonalUp="0" diagonalDown="0">
        <left/>
        <right style="medium">
          <color auto="1"/>
        </right>
        <top/>
        <bottom/>
        <vertical/>
        <horizontal/>
      </border>
    </dxf>
    <dxf>
      <numFmt numFmtId="164" formatCode="&quot;$&quot;#,##0.00"/>
      <border diagonalUp="0" diagonalDown="0">
        <left style="thick">
          <color auto="1"/>
        </left>
        <right/>
        <top/>
        <bottom/>
        <vertical/>
        <horizontal/>
      </border>
    </dxf>
    <dxf>
      <numFmt numFmtId="2" formatCode="0.00"/>
    </dxf>
    <dxf>
      <numFmt numFmtId="2" formatCode="0.00"/>
    </dxf>
    <dxf>
      <numFmt numFmtId="2" formatCode="0.00"/>
    </dxf>
    <dxf>
      <numFmt numFmtId="2" formatCode="0.00"/>
    </dxf>
    <dxf>
      <numFmt numFmtId="13" formatCode="0%"/>
    </dxf>
    <dxf>
      <fill>
        <patternFill patternType="none">
          <fgColor indexed="64"/>
          <bgColor indexed="65"/>
        </patternFill>
      </fill>
    </dxf>
    <dxf>
      <alignment horizontal="center" vertical="bottom" textRotation="0" wrapText="0" indent="0" relativeIndent="255" justifyLastLine="0" shrinkToFit="0" readingOrder="0"/>
    </dxf>
    <dxf>
      <numFmt numFmtId="19" formatCode="m/d/yyyy"/>
    </dxf>
    <dxf>
      <border outline="0">
        <top style="thick">
          <color auto="1"/>
        </top>
        <bottom style="thick">
          <color auto="1"/>
        </bottom>
      </border>
    </dxf>
    <dxf>
      <border outline="0">
        <bottom style="thick">
          <color auto="1"/>
        </bottom>
      </border>
    </dxf>
    <dxf>
      <font>
        <b/>
        <i val="0"/>
        <strike val="0"/>
        <condense val="0"/>
        <extend val="0"/>
        <outline val="0"/>
        <shadow val="0"/>
        <u val="none"/>
        <vertAlign val="baseline"/>
        <sz val="11"/>
        <color theme="1"/>
        <name val="Calibri"/>
        <scheme val="minor"/>
      </font>
      <fill>
        <patternFill patternType="solid">
          <fgColor indexed="64"/>
          <bgColor theme="9" tint="0.79998168889431442"/>
        </patternFill>
      </fill>
      <alignment horizontal="center" vertical="bottom" textRotation="0" wrapText="0" indent="0" relativeIndent="255" justifyLastLine="0" shrinkToFit="0" readingOrder="0"/>
    </dxf>
    <dxf>
      <font>
        <b/>
        <i/>
        <color rgb="FF7030A0"/>
      </font>
      <border>
        <left style="hair">
          <color auto="1"/>
        </left>
        <right style="hair">
          <color auto="1"/>
        </right>
        <top style="hair">
          <color auto="1"/>
        </top>
        <bottom style="hair">
          <color auto="1"/>
        </bottom>
        <vertical/>
        <horizontal/>
      </border>
    </dxf>
    <dxf>
      <font>
        <b/>
        <i val="0"/>
        <color auto="1"/>
      </font>
      <fill>
        <patternFill patternType="solid">
          <fgColor auto="1"/>
          <bgColor theme="7" tint="0.39994506668294322"/>
        </patternFill>
      </fill>
      <border>
        <left style="hair">
          <color auto="1"/>
        </left>
        <right style="hair">
          <color auto="1"/>
        </right>
        <top style="hair">
          <color auto="1"/>
        </top>
        <bottom style="hair">
          <color auto="1"/>
        </bottom>
        <vertical/>
        <horizontal/>
      </border>
    </dxf>
    <dxf>
      <font>
        <b/>
        <i val="0"/>
        <color auto="1"/>
      </font>
      <fill>
        <patternFill patternType="solid">
          <fgColor auto="1"/>
          <bgColor theme="7" tint="0.39994506668294322"/>
        </patternFill>
      </fill>
      <border>
        <left style="hair">
          <color auto="1"/>
        </left>
        <right style="hair">
          <color auto="1"/>
        </right>
        <top style="hair">
          <color auto="1"/>
        </top>
        <bottom style="hair">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NAS Disk Drive Price</a:t>
            </a:r>
            <a:r>
              <a:rPr lang="en-US" baseline="0"/>
              <a:t> </a:t>
            </a:r>
            <a:r>
              <a:rPr lang="en-US"/>
              <a:t>Comparisons</a:t>
            </a:r>
          </a:p>
        </c:rich>
      </c:tx>
      <c:spPr>
        <a:noFill/>
        <a:ln>
          <a:noFill/>
        </a:ln>
        <a:effectLst/>
      </c:spPr>
    </c:title>
    <c:plotArea>
      <c:layout>
        <c:manualLayout>
          <c:layoutTarget val="inner"/>
          <c:xMode val="edge"/>
          <c:yMode val="edge"/>
          <c:x val="0.15603937007874019"/>
          <c:y val="0.19023148148148156"/>
          <c:w val="0.69406736657917778"/>
          <c:h val="0.62271617089530462"/>
        </c:manualLayout>
      </c:layout>
      <c:scatterChart>
        <c:scatterStyle val="lineMarker"/>
        <c:ser>
          <c:idx val="1"/>
          <c:order val="0"/>
          <c:tx>
            <c:strRef>
              <c:f>'Drive Table'!$C$3:$C$96</c:f>
              <c:strCache>
                <c:ptCount val="1"/>
                <c:pt idx="0">
                  <c:v>Deskstar NAS Deskstar NAS Deskstar NAS Deskstar NAS Deskstar NAS Travelstar 2.5" Ultrastar 7K6 Ultrastar 7K6 Ultrastar 7K6 Ultrastar 7K6 Ultrastar Archive Ha10 Ultrastar C10K1800 2.5" Archive Archive Archive BarraCuda BarraCuda BarraCuda BarraCuda BarraCu</c:v>
                </c:pt>
              </c:strCache>
            </c:strRef>
          </c:tx>
          <c:spPr>
            <a:ln w="25400" cap="rnd">
              <a:noFill/>
              <a:round/>
            </a:ln>
            <a:effectLst>
              <a:outerShdw blurRad="57150" dist="19050" dir="5400000" algn="ctr" rotWithShape="0">
                <a:srgbClr val="000000">
                  <a:alpha val="63000"/>
                </a:srgbClr>
              </a:outerShdw>
            </a:effectLst>
          </c:spPr>
          <c:marker>
            <c:symbol val="circle"/>
            <c:size val="6"/>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9525" cap="rnd">
                <a:solidFill>
                  <a:schemeClr val="accent2"/>
                </a:solidFill>
                <a:round/>
              </a:ln>
              <a:effectLst>
                <a:outerShdw blurRad="57150" dist="19050" dir="5400000" algn="ctr" rotWithShape="0">
                  <a:srgbClr val="000000">
                    <a:alpha val="63000"/>
                  </a:srgbClr>
                </a:outerShdw>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dLblPos val="t"/>
            <c:showVal val="1"/>
            <c:extLst xmlns:c16r2="http://schemas.microsoft.com/office/drawing/2015/06/char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xVal>
            <c:numRef>
              <c:f>'Drive Table'!$F$3:$F$96</c:f>
              <c:numCache>
                <c:formatCode>General</c:formatCode>
                <c:ptCount val="94"/>
                <c:pt idx="0">
                  <c:v>3</c:v>
                </c:pt>
                <c:pt idx="1">
                  <c:v>4</c:v>
                </c:pt>
                <c:pt idx="2">
                  <c:v>5</c:v>
                </c:pt>
                <c:pt idx="3">
                  <c:v>6</c:v>
                </c:pt>
                <c:pt idx="4">
                  <c:v>8</c:v>
                </c:pt>
                <c:pt idx="5">
                  <c:v>1</c:v>
                </c:pt>
                <c:pt idx="6">
                  <c:v>2</c:v>
                </c:pt>
                <c:pt idx="7">
                  <c:v>4</c:v>
                </c:pt>
                <c:pt idx="8">
                  <c:v>5</c:v>
                </c:pt>
                <c:pt idx="9">
                  <c:v>6</c:v>
                </c:pt>
                <c:pt idx="10">
                  <c:v>8</c:v>
                </c:pt>
                <c:pt idx="11">
                  <c:v>1.8</c:v>
                </c:pt>
                <c:pt idx="12">
                  <c:v>5</c:v>
                </c:pt>
                <c:pt idx="13">
                  <c:v>6</c:v>
                </c:pt>
                <c:pt idx="14">
                  <c:v>8</c:v>
                </c:pt>
                <c:pt idx="15">
                  <c:v>1</c:v>
                </c:pt>
                <c:pt idx="16">
                  <c:v>2</c:v>
                </c:pt>
                <c:pt idx="17">
                  <c:v>3</c:v>
                </c:pt>
                <c:pt idx="18">
                  <c:v>4</c:v>
                </c:pt>
                <c:pt idx="19">
                  <c:v>1</c:v>
                </c:pt>
                <c:pt idx="20">
                  <c:v>2</c:v>
                </c:pt>
                <c:pt idx="21">
                  <c:v>3</c:v>
                </c:pt>
                <c:pt idx="22">
                  <c:v>4</c:v>
                </c:pt>
                <c:pt idx="23">
                  <c:v>5</c:v>
                </c:pt>
                <c:pt idx="24">
                  <c:v>2</c:v>
                </c:pt>
                <c:pt idx="25">
                  <c:v>4</c:v>
                </c:pt>
                <c:pt idx="26">
                  <c:v>5</c:v>
                </c:pt>
                <c:pt idx="27">
                  <c:v>6</c:v>
                </c:pt>
                <c:pt idx="28">
                  <c:v>8</c:v>
                </c:pt>
                <c:pt idx="29">
                  <c:v>10</c:v>
                </c:pt>
                <c:pt idx="30">
                  <c:v>1</c:v>
                </c:pt>
                <c:pt idx="31">
                  <c:v>2</c:v>
                </c:pt>
                <c:pt idx="32">
                  <c:v>3</c:v>
                </c:pt>
                <c:pt idx="33">
                  <c:v>4</c:v>
                </c:pt>
                <c:pt idx="34">
                  <c:v>1</c:v>
                </c:pt>
                <c:pt idx="35">
                  <c:v>2</c:v>
                </c:pt>
                <c:pt idx="36">
                  <c:v>3</c:v>
                </c:pt>
                <c:pt idx="37">
                  <c:v>4</c:v>
                </c:pt>
                <c:pt idx="38">
                  <c:v>6</c:v>
                </c:pt>
                <c:pt idx="39">
                  <c:v>8</c:v>
                </c:pt>
                <c:pt idx="40">
                  <c:v>1</c:v>
                </c:pt>
                <c:pt idx="41">
                  <c:v>2</c:v>
                </c:pt>
                <c:pt idx="42">
                  <c:v>10</c:v>
                </c:pt>
                <c:pt idx="43">
                  <c:v>1</c:v>
                </c:pt>
                <c:pt idx="44">
                  <c:v>2</c:v>
                </c:pt>
                <c:pt idx="45">
                  <c:v>1</c:v>
                </c:pt>
                <c:pt idx="46">
                  <c:v>2</c:v>
                </c:pt>
                <c:pt idx="47">
                  <c:v>1</c:v>
                </c:pt>
                <c:pt idx="48">
                  <c:v>2</c:v>
                </c:pt>
                <c:pt idx="49">
                  <c:v>3</c:v>
                </c:pt>
                <c:pt idx="50">
                  <c:v>4</c:v>
                </c:pt>
                <c:pt idx="51">
                  <c:v>6</c:v>
                </c:pt>
                <c:pt idx="52">
                  <c:v>8</c:v>
                </c:pt>
                <c:pt idx="53">
                  <c:v>10</c:v>
                </c:pt>
                <c:pt idx="54">
                  <c:v>2</c:v>
                </c:pt>
                <c:pt idx="55">
                  <c:v>4</c:v>
                </c:pt>
                <c:pt idx="56">
                  <c:v>6</c:v>
                </c:pt>
                <c:pt idx="57">
                  <c:v>8</c:v>
                </c:pt>
                <c:pt idx="58">
                  <c:v>10</c:v>
                </c:pt>
                <c:pt idx="59">
                  <c:v>4</c:v>
                </c:pt>
                <c:pt idx="60">
                  <c:v>4</c:v>
                </c:pt>
                <c:pt idx="61">
                  <c:v>6</c:v>
                </c:pt>
                <c:pt idx="62">
                  <c:v>8</c:v>
                </c:pt>
                <c:pt idx="63">
                  <c:v>1</c:v>
                </c:pt>
                <c:pt idx="64">
                  <c:v>2</c:v>
                </c:pt>
                <c:pt idx="65">
                  <c:v>4</c:v>
                </c:pt>
                <c:pt idx="66">
                  <c:v>5</c:v>
                </c:pt>
                <c:pt idx="67">
                  <c:v>6</c:v>
                </c:pt>
                <c:pt idx="68">
                  <c:v>8</c:v>
                </c:pt>
                <c:pt idx="69">
                  <c:v>1</c:v>
                </c:pt>
                <c:pt idx="70">
                  <c:v>2</c:v>
                </c:pt>
                <c:pt idx="71">
                  <c:v>3</c:v>
                </c:pt>
                <c:pt idx="72">
                  <c:v>4</c:v>
                </c:pt>
                <c:pt idx="73">
                  <c:v>5</c:v>
                </c:pt>
                <c:pt idx="74">
                  <c:v>6</c:v>
                </c:pt>
                <c:pt idx="75">
                  <c:v>1</c:v>
                </c:pt>
                <c:pt idx="76">
                  <c:v>2</c:v>
                </c:pt>
                <c:pt idx="77">
                  <c:v>4</c:v>
                </c:pt>
                <c:pt idx="78">
                  <c:v>6</c:v>
                </c:pt>
                <c:pt idx="79">
                  <c:v>8</c:v>
                </c:pt>
                <c:pt idx="80">
                  <c:v>10</c:v>
                </c:pt>
                <c:pt idx="81">
                  <c:v>1</c:v>
                </c:pt>
                <c:pt idx="82">
                  <c:v>2</c:v>
                </c:pt>
                <c:pt idx="83">
                  <c:v>3</c:v>
                </c:pt>
                <c:pt idx="84">
                  <c:v>4</c:v>
                </c:pt>
                <c:pt idx="85">
                  <c:v>5</c:v>
                </c:pt>
                <c:pt idx="86">
                  <c:v>6</c:v>
                </c:pt>
                <c:pt idx="87">
                  <c:v>8</c:v>
                </c:pt>
                <c:pt idx="88">
                  <c:v>2</c:v>
                </c:pt>
                <c:pt idx="89">
                  <c:v>3</c:v>
                </c:pt>
                <c:pt idx="90">
                  <c:v>4</c:v>
                </c:pt>
                <c:pt idx="91">
                  <c:v>5</c:v>
                </c:pt>
                <c:pt idx="92">
                  <c:v>6</c:v>
                </c:pt>
                <c:pt idx="93">
                  <c:v>8</c:v>
                </c:pt>
              </c:numCache>
            </c:numRef>
          </c:xVal>
          <c:yVal>
            <c:numRef>
              <c:f>'Drive Table'!$N$3:$N$96</c:f>
              <c:numCache>
                <c:formatCode>"$"#,##0.00</c:formatCode>
                <c:ptCount val="94"/>
                <c:pt idx="0">
                  <c:v>34.996666666666663</c:v>
                </c:pt>
                <c:pt idx="1">
                  <c:v>33.747500000000002</c:v>
                </c:pt>
                <c:pt idx="2">
                  <c:v>49.922000000000004</c:v>
                </c:pt>
                <c:pt idx="3">
                  <c:v>33.331666666666671</c:v>
                </c:pt>
                <c:pt idx="4">
                  <c:v>34.998750000000001</c:v>
                </c:pt>
                <c:pt idx="5">
                  <c:v>49.99</c:v>
                </c:pt>
                <c:pt idx="6">
                  <c:v>74.67</c:v>
                </c:pt>
                <c:pt idx="7">
                  <c:v>63.997500000000002</c:v>
                </c:pt>
                <c:pt idx="8">
                  <c:v>76.284000000000006</c:v>
                </c:pt>
                <c:pt idx="9">
                  <c:v>50.254999999999995</c:v>
                </c:pt>
                <c:pt idx="10">
                  <c:v>46.625</c:v>
                </c:pt>
                <c:pt idx="11">
                  <c:v>324.93888888888887</c:v>
                </c:pt>
                <c:pt idx="12">
                  <c:v>38.402000000000001</c:v>
                </c:pt>
                <c:pt idx="13">
                  <c:v>33.911666666666669</c:v>
                </c:pt>
                <c:pt idx="14">
                  <c:v>25.861499999999999</c:v>
                </c:pt>
                <c:pt idx="15">
                  <c:v>49.99</c:v>
                </c:pt>
                <c:pt idx="16">
                  <c:v>29.995000000000001</c:v>
                </c:pt>
                <c:pt idx="17">
                  <c:v>23.33</c:v>
                </c:pt>
                <c:pt idx="18">
                  <c:v>29.747499999999999</c:v>
                </c:pt>
                <c:pt idx="19">
                  <c:v>48.99</c:v>
                </c:pt>
                <c:pt idx="20">
                  <c:v>44.494999999999997</c:v>
                </c:pt>
                <c:pt idx="21">
                  <c:v>46.663333333333334</c:v>
                </c:pt>
                <c:pt idx="22">
                  <c:v>44.997500000000002</c:v>
                </c:pt>
                <c:pt idx="23">
                  <c:v>43.998000000000005</c:v>
                </c:pt>
                <c:pt idx="24">
                  <c:v>39.994999999999997</c:v>
                </c:pt>
                <c:pt idx="25">
                  <c:v>46.247500000000002</c:v>
                </c:pt>
                <c:pt idx="26">
                  <c:v>42.998000000000005</c:v>
                </c:pt>
                <c:pt idx="27">
                  <c:v>43.164999999999999</c:v>
                </c:pt>
                <c:pt idx="28">
                  <c:v>41.873750000000001</c:v>
                </c:pt>
                <c:pt idx="29">
                  <c:v>43.499000000000002</c:v>
                </c:pt>
                <c:pt idx="30">
                  <c:v>95</c:v>
                </c:pt>
                <c:pt idx="31">
                  <c:v>62</c:v>
                </c:pt>
                <c:pt idx="32">
                  <c:v>49.99666666666667</c:v>
                </c:pt>
                <c:pt idx="33">
                  <c:v>39.997500000000002</c:v>
                </c:pt>
                <c:pt idx="34">
                  <c:v>99.99</c:v>
                </c:pt>
                <c:pt idx="35">
                  <c:v>69.995000000000005</c:v>
                </c:pt>
                <c:pt idx="36">
                  <c:v>58.973333333333329</c:v>
                </c:pt>
                <c:pt idx="37">
                  <c:v>44.997500000000002</c:v>
                </c:pt>
                <c:pt idx="38">
                  <c:v>39.966666666666669</c:v>
                </c:pt>
                <c:pt idx="39">
                  <c:v>46.248750000000001</c:v>
                </c:pt>
                <c:pt idx="40">
                  <c:v>188.8</c:v>
                </c:pt>
                <c:pt idx="41">
                  <c:v>159.995</c:v>
                </c:pt>
                <c:pt idx="42">
                  <c:v>42.198999999999998</c:v>
                </c:pt>
                <c:pt idx="43">
                  <c:v>78.989999999999995</c:v>
                </c:pt>
                <c:pt idx="44">
                  <c:v>47.494999999999997</c:v>
                </c:pt>
                <c:pt idx="45">
                  <c:v>54.99</c:v>
                </c:pt>
                <c:pt idx="46">
                  <c:v>52.045000000000002</c:v>
                </c:pt>
                <c:pt idx="47">
                  <c:v>64.489999999999995</c:v>
                </c:pt>
                <c:pt idx="48">
                  <c:v>39.994999999999997</c:v>
                </c:pt>
                <c:pt idx="49">
                  <c:v>36.333333333333336</c:v>
                </c:pt>
                <c:pt idx="50">
                  <c:v>31.497499999999999</c:v>
                </c:pt>
                <c:pt idx="51">
                  <c:v>31.665000000000003</c:v>
                </c:pt>
                <c:pt idx="52">
                  <c:v>29.998750000000001</c:v>
                </c:pt>
                <c:pt idx="53">
                  <c:v>36.999000000000002</c:v>
                </c:pt>
                <c:pt idx="54">
                  <c:v>72.495000000000005</c:v>
                </c:pt>
                <c:pt idx="55">
                  <c:v>52.497500000000002</c:v>
                </c:pt>
                <c:pt idx="56">
                  <c:v>41.664999999999999</c:v>
                </c:pt>
                <c:pt idx="57">
                  <c:v>37.498750000000001</c:v>
                </c:pt>
                <c:pt idx="58">
                  <c:v>42.698</c:v>
                </c:pt>
                <c:pt idx="59">
                  <c:v>47.497500000000002</c:v>
                </c:pt>
                <c:pt idx="60">
                  <c:v>34.997500000000002</c:v>
                </c:pt>
                <c:pt idx="61">
                  <c:v>35.831666666666671</c:v>
                </c:pt>
                <c:pt idx="62">
                  <c:v>31.248750000000001</c:v>
                </c:pt>
                <c:pt idx="63">
                  <c:v>69.989999999999995</c:v>
                </c:pt>
                <c:pt idx="64">
                  <c:v>57.994999999999997</c:v>
                </c:pt>
                <c:pt idx="65">
                  <c:v>46.997500000000002</c:v>
                </c:pt>
                <c:pt idx="66">
                  <c:v>43.998000000000005</c:v>
                </c:pt>
                <c:pt idx="67">
                  <c:v>41.664999999999999</c:v>
                </c:pt>
                <c:pt idx="68">
                  <c:v>41.248750000000001</c:v>
                </c:pt>
                <c:pt idx="69">
                  <c:v>49.99</c:v>
                </c:pt>
                <c:pt idx="70">
                  <c:v>32.494999999999997</c:v>
                </c:pt>
                <c:pt idx="71">
                  <c:v>30.66333333333333</c:v>
                </c:pt>
                <c:pt idx="72">
                  <c:v>28.247499999999999</c:v>
                </c:pt>
                <c:pt idx="73">
                  <c:v>47.177999999999997</c:v>
                </c:pt>
                <c:pt idx="74">
                  <c:v>32</c:v>
                </c:pt>
                <c:pt idx="75">
                  <c:v>86.99</c:v>
                </c:pt>
                <c:pt idx="76">
                  <c:v>67.495000000000005</c:v>
                </c:pt>
                <c:pt idx="77">
                  <c:v>46.997500000000002</c:v>
                </c:pt>
                <c:pt idx="78">
                  <c:v>44.998333333333335</c:v>
                </c:pt>
                <c:pt idx="79">
                  <c:v>47.498750000000001</c:v>
                </c:pt>
                <c:pt idx="80">
                  <c:v>46.999000000000002</c:v>
                </c:pt>
                <c:pt idx="81">
                  <c:v>62.49</c:v>
                </c:pt>
                <c:pt idx="82">
                  <c:v>39.994999999999997</c:v>
                </c:pt>
                <c:pt idx="83">
                  <c:v>33.33</c:v>
                </c:pt>
                <c:pt idx="84">
                  <c:v>32.497500000000002</c:v>
                </c:pt>
                <c:pt idx="85">
                  <c:v>56.372</c:v>
                </c:pt>
                <c:pt idx="86">
                  <c:v>33.331666666666671</c:v>
                </c:pt>
                <c:pt idx="87">
                  <c:v>32.498750000000001</c:v>
                </c:pt>
                <c:pt idx="88">
                  <c:v>69.995000000000005</c:v>
                </c:pt>
                <c:pt idx="89">
                  <c:v>67.33</c:v>
                </c:pt>
                <c:pt idx="90">
                  <c:v>49.997500000000002</c:v>
                </c:pt>
                <c:pt idx="91">
                  <c:v>51.998000000000005</c:v>
                </c:pt>
                <c:pt idx="92">
                  <c:v>41.664999999999999</c:v>
                </c:pt>
                <c:pt idx="93">
                  <c:v>44.998875000000005</c:v>
                </c:pt>
              </c:numCache>
            </c:numRef>
          </c:yVal>
          <c:extLst xmlns:c16r2="http://schemas.microsoft.com/office/drawing/2015/06/chart">
            <c:ext xmlns:c16="http://schemas.microsoft.com/office/drawing/2014/chart" uri="{C3380CC4-5D6E-409C-BE32-E72D297353CC}">
              <c16:uniqueId val="{00000000-957D-4ECA-828A-73C40A8BA61F}"/>
            </c:ext>
          </c:extLst>
        </c:ser>
        <c:dLbls>
          <c:showVal val="1"/>
        </c:dLbls>
        <c:axId val="153177088"/>
        <c:axId val="153187456"/>
      </c:scatterChart>
      <c:valAx>
        <c:axId val="153177088"/>
        <c:scaling>
          <c:orientation val="minMax"/>
        </c:scaling>
        <c:axPos val="b"/>
        <c:majorGridlines>
          <c:spPr>
            <a:ln w="9525" cap="flat" cmpd="sng" algn="ctr">
              <a:solidFill>
                <a:schemeClr val="lt1">
                  <a:lumMod val="95000"/>
                  <a:alpha val="10000"/>
                </a:schemeClr>
              </a:solidFill>
              <a:round/>
            </a:ln>
            <a:effectLst/>
          </c:spPr>
        </c:majorGridlines>
        <c:minorGridlines>
          <c:spPr>
            <a:ln>
              <a:solidFill>
                <a:schemeClr val="lt1">
                  <a:lumMod val="95000"/>
                  <a:alpha val="5000"/>
                </a:schemeClr>
              </a:solidFill>
            </a:ln>
            <a:effectLst/>
          </c:spPr>
        </c:minorGridlines>
        <c:title>
          <c:tx>
            <c:rich>
              <a:bodyPr rot="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US" sz="2000"/>
                  <a:t>Size</a:t>
                </a:r>
                <a:r>
                  <a:rPr lang="en-US" sz="2000" baseline="0"/>
                  <a:t> in Terabytes</a:t>
                </a:r>
                <a:endParaRPr lang="en-US" sz="2000"/>
              </a:p>
            </c:rich>
          </c:tx>
          <c:spPr>
            <a:noFill/>
            <a:ln>
              <a:noFill/>
            </a:ln>
            <a:effectLst/>
          </c:spPr>
        </c:title>
        <c:numFmt formatCode="General" sourceLinked="1"/>
        <c:maj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53187456"/>
        <c:crosses val="autoZero"/>
        <c:crossBetween val="midCat"/>
      </c:valAx>
      <c:valAx>
        <c:axId val="153187456"/>
        <c:scaling>
          <c:orientation val="minMax"/>
        </c:scaling>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US" sz="2000"/>
                  <a:t>Price</a:t>
                </a:r>
              </a:p>
            </c:rich>
          </c:tx>
          <c:spPr>
            <a:noFill/>
            <a:ln>
              <a:noFill/>
            </a:ln>
            <a:effectLst/>
          </c:spPr>
        </c:title>
        <c:numFmt formatCode="&quot;$&quot;#,##0.00" sourceLinked="1"/>
        <c:maj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53177088"/>
        <c:crosses val="autoZero"/>
        <c:crossBetween val="midCat"/>
      </c:valAx>
      <c:spPr>
        <a:noFill/>
        <a:ln>
          <a:noFill/>
        </a:ln>
        <a:effectLst/>
      </c:spPr>
    </c:plotArea>
    <c:legend>
      <c:legendPos val="b"/>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legend>
    <c:plotVisOnly val="1"/>
    <c:dispBlanksAs val="gap"/>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9525</xdr:colOff>
      <xdr:row>2</xdr:row>
      <xdr:rowOff>0</xdr:rowOff>
    </xdr:from>
    <xdr:to>
      <xdr:col>13</xdr:col>
      <xdr:colOff>542925</xdr:colOff>
      <xdr:row>32</xdr:row>
      <xdr:rowOff>9525</xdr:rowOff>
    </xdr:to>
    <xdr:graphicFrame macro="">
      <xdr:nvGraphicFramePr>
        <xdr:cNvPr id="2" name="Chart 1">
          <a:extLst>
            <a:ext uri="{FF2B5EF4-FFF2-40B4-BE49-F238E27FC236}">
              <a16:creationId xmlns:a16="http://schemas.microsoft.com/office/drawing/2014/main" xmlns=""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id="5" name="Table5" displayName="Table5" ref="A2:U96" totalsRowShown="0" headerRowDxfId="18" headerRowBorderDxfId="17" tableBorderDxfId="16">
  <autoFilter ref="A2:U96"/>
  <sortState ref="A3:R85">
    <sortCondition ref="B3:B85"/>
    <sortCondition ref="C3:C85"/>
    <sortCondition ref="F3:F85"/>
    <sortCondition ref="E3:E85"/>
  </sortState>
  <tableColumns count="21">
    <tableColumn id="1" name="Date" dataDxfId="15"/>
    <tableColumn id="2" name="Manu"/>
    <tableColumn id="3" name="Model"/>
    <tableColumn id="21" name="Type" dataDxfId="14"/>
    <tableColumn id="4" name="RPM"/>
    <tableColumn id="5" name="SizTB" dataDxfId="13"/>
    <tableColumn id="6" name="PerfCmp54" dataDxfId="12">
      <calculatedColumnFormula>(Table5[[#This Row],[RPM]]/5400-1)</calculatedColumnFormula>
    </tableColumn>
    <tableColumn id="7" name="Warnty"/>
    <tableColumn id="18" name="MaxStartupWatts" dataDxfId="11"/>
    <tableColumn id="8" name="Watts Active" dataDxfId="10"/>
    <tableColumn id="9" name="Watts Idle" dataDxfId="9"/>
    <tableColumn id="10" name="WattsStandby" dataDxfId="8"/>
    <tableColumn id="11" name="Cost" dataDxfId="7"/>
    <tableColumn id="12" name="$ TB" dataDxfId="6">
      <calculatedColumnFormula>Table5[[#This Row],[Cost]]/Table5[[#This Row],[SizTB]]</calculatedColumnFormula>
    </tableColumn>
    <tableColumn id="13" name="$+Warr" dataDxfId="5">
      <calculatedColumnFormula>Table5[[#This Row],[Cost]]+(($E$108-Table5[[#This Row],[Warnty]])*($E$109*Table5[[#This Row],[Cost]]))</calculatedColumnFormula>
    </tableColumn>
    <tableColumn id="14" name="$PerTB" dataDxfId="4">
      <calculatedColumnFormula>Table5[[#This Row],[$+Warr]]/Table5[[#This Row],[SizTB]]</calculatedColumnFormula>
    </tableColumn>
    <tableColumn id="15" name="$ TB/year" dataDxfId="3">
      <calculatedColumnFormula>Table5[[#This Row],[$PerTB]]/$D$108</calculatedColumnFormula>
    </tableColumn>
    <tableColumn id="16" name="Comp $/Perf/Size" dataDxfId="2"/>
    <tableColumn id="17" name="Energy$year" dataDxfId="1">
      <calculatedColumnFormula>((30/(1000/J3/24)*$E$107)+(30/(1000/K3/24)*(100%-$E$107)))*$E$106*12</calculatedColumnFormula>
    </tableColumn>
    <tableColumn id="20" name="Energy$yearPerTB" dataDxfId="0">
      <calculatedColumnFormula>Table5[[#This Row],[Energy$year]]/Table5[[#This Row],[SizTB]]</calculatedColumnFormula>
    </tableColumn>
    <tableColumn id="19" name="Notes"/>
  </tableColumns>
  <tableStyleInfo name="TableStyleMedium2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W112"/>
  <sheetViews>
    <sheetView tabSelected="1" topLeftCell="F1" zoomScaleNormal="100" workbookViewId="0">
      <pane ySplit="2" topLeftCell="A9" activePane="bottomLeft" state="frozen"/>
      <selection pane="bottomLeft" activeCell="S22" sqref="S22"/>
    </sheetView>
  </sheetViews>
  <sheetFormatPr defaultRowHeight="15"/>
  <cols>
    <col min="1" max="1" width="9.85546875" bestFit="1" customWidth="1"/>
    <col min="2" max="2" width="8.28515625" customWidth="1"/>
    <col min="3" max="3" width="20.7109375" bestFit="1" customWidth="1"/>
    <col min="4" max="4" width="9.85546875" bestFit="1" customWidth="1"/>
    <col min="5" max="5" width="7.28515625" customWidth="1"/>
    <col min="6" max="6" width="7.7109375" style="7" customWidth="1"/>
    <col min="7" max="7" width="12.85546875" customWidth="1"/>
    <col min="8" max="9" width="9.7109375" customWidth="1"/>
    <col min="10" max="10" width="14.42578125" customWidth="1"/>
    <col min="11" max="11" width="12.28515625" customWidth="1"/>
    <col min="12" max="12" width="15.5703125" customWidth="1"/>
    <col min="13" max="13" width="7.5703125" bestFit="1" customWidth="1"/>
    <col min="14" max="14" width="9" bestFit="1" customWidth="1"/>
    <col min="15" max="15" width="9.85546875" style="6" customWidth="1"/>
    <col min="16" max="16" width="9.42578125" style="6" customWidth="1"/>
    <col min="17" max="17" width="11.42578125" style="6" customWidth="1"/>
    <col min="18" max="18" width="18.7109375" customWidth="1"/>
    <col min="19" max="20" width="14" customWidth="1"/>
    <col min="21" max="21" width="18.7109375" customWidth="1"/>
  </cols>
  <sheetData>
    <row r="1" spans="1:23" ht="16.5" thickTop="1" thickBot="1">
      <c r="A1" s="27"/>
      <c r="B1" s="27"/>
      <c r="C1" s="27"/>
      <c r="D1" s="27"/>
      <c r="E1" s="27"/>
      <c r="F1" s="27"/>
      <c r="G1" s="27"/>
      <c r="H1" s="27"/>
      <c r="I1" s="27"/>
      <c r="J1" s="27"/>
      <c r="K1" s="27"/>
      <c r="L1" s="28"/>
      <c r="M1" s="57" t="s">
        <v>44</v>
      </c>
      <c r="N1" s="59"/>
      <c r="O1" s="57" t="s">
        <v>48</v>
      </c>
      <c r="P1" s="58"/>
      <c r="Q1" s="59"/>
      <c r="R1" s="47"/>
      <c r="S1" s="60" t="s">
        <v>67</v>
      </c>
      <c r="T1" s="61"/>
    </row>
    <row r="2" spans="1:23" s="3" customFormat="1" ht="16.5" thickTop="1" thickBot="1">
      <c r="A2" s="12" t="s">
        <v>0</v>
      </c>
      <c r="B2" s="12" t="s">
        <v>1</v>
      </c>
      <c r="C2" s="12" t="s">
        <v>4</v>
      </c>
      <c r="D2" s="13" t="s">
        <v>68</v>
      </c>
      <c r="E2" s="13" t="s">
        <v>7</v>
      </c>
      <c r="F2" s="14" t="s">
        <v>32</v>
      </c>
      <c r="G2" s="15" t="s">
        <v>31</v>
      </c>
      <c r="H2" s="12" t="s">
        <v>30</v>
      </c>
      <c r="I2" s="12" t="s">
        <v>47</v>
      </c>
      <c r="J2" s="12" t="s">
        <v>8</v>
      </c>
      <c r="K2" s="12" t="s">
        <v>9</v>
      </c>
      <c r="L2" s="13" t="s">
        <v>39</v>
      </c>
      <c r="M2" s="23" t="s">
        <v>2</v>
      </c>
      <c r="N2" s="24" t="s">
        <v>3</v>
      </c>
      <c r="O2" s="23" t="s">
        <v>43</v>
      </c>
      <c r="P2" s="26" t="s">
        <v>65</v>
      </c>
      <c r="Q2" s="24" t="s">
        <v>23</v>
      </c>
      <c r="R2" s="15" t="s">
        <v>42</v>
      </c>
      <c r="S2" s="48" t="s">
        <v>25</v>
      </c>
      <c r="T2" s="48" t="s">
        <v>64</v>
      </c>
      <c r="U2" s="31" t="s">
        <v>54</v>
      </c>
    </row>
    <row r="3" spans="1:23" ht="15.75" thickTop="1">
      <c r="A3" s="1">
        <v>42860</v>
      </c>
      <c r="B3" t="s">
        <v>16</v>
      </c>
      <c r="C3" t="s">
        <v>17</v>
      </c>
      <c r="D3" s="56" t="s">
        <v>69</v>
      </c>
      <c r="E3">
        <v>7200</v>
      </c>
      <c r="F3" s="7">
        <v>3</v>
      </c>
      <c r="G3" s="2">
        <f>(Table5[[#This Row],[RPM]]/5400-1)</f>
        <v>0.33333333333333326</v>
      </c>
      <c r="H3">
        <v>3</v>
      </c>
      <c r="I3" s="29">
        <f>1.2*5+2*12</f>
        <v>30</v>
      </c>
      <c r="J3" s="8"/>
      <c r="K3" s="8">
        <v>6.9</v>
      </c>
      <c r="L3" s="8"/>
      <c r="M3" s="18">
        <v>104.99</v>
      </c>
      <c r="N3" s="16">
        <f>Table5[[#This Row],[Cost]]/Table5[[#This Row],[SizTB]]</f>
        <v>34.996666666666663</v>
      </c>
      <c r="O3" s="17">
        <f>Table5[[#This Row],[Cost]]+(($E$108-Table5[[#This Row],[Warnty]])*($E$109*Table5[[#This Row],[Cost]]))</f>
        <v>104.99</v>
      </c>
      <c r="P3" s="9">
        <f>Table5[[#This Row],[$+Warr]]/Table5[[#This Row],[SizTB]]</f>
        <v>34.996666666666663</v>
      </c>
      <c r="Q3" s="16">
        <f>Table5[[#This Row],[$PerTB]]/$D$108</f>
        <v>6.9993333333333325</v>
      </c>
      <c r="R3" s="10"/>
      <c r="S3" s="11"/>
      <c r="T3" s="11"/>
      <c r="W3" s="4"/>
    </row>
    <row r="4" spans="1:23">
      <c r="A4" s="1">
        <v>42944</v>
      </c>
      <c r="B4" t="s">
        <v>16</v>
      </c>
      <c r="C4" t="s">
        <v>17</v>
      </c>
      <c r="D4" s="56" t="s">
        <v>69</v>
      </c>
      <c r="E4">
        <v>7200</v>
      </c>
      <c r="F4" s="7">
        <v>4</v>
      </c>
      <c r="G4" s="2">
        <f>(Table5[[#This Row],[RPM]]/5400-1)</f>
        <v>0.33333333333333326</v>
      </c>
      <c r="H4">
        <v>3</v>
      </c>
      <c r="I4" s="29">
        <f t="shared" ref="I4:I7" si="0">1.2*5+2*12</f>
        <v>30</v>
      </c>
      <c r="J4" s="8"/>
      <c r="K4" s="8">
        <v>6.9</v>
      </c>
      <c r="L4" s="8"/>
      <c r="M4" s="19">
        <v>134.99</v>
      </c>
      <c r="N4" s="16">
        <f>Table5[[#This Row],[Cost]]/Table5[[#This Row],[SizTB]]</f>
        <v>33.747500000000002</v>
      </c>
      <c r="O4" s="17">
        <f>Table5[[#This Row],[Cost]]+(($E$108-Table5[[#This Row],[Warnty]])*($E$109*Table5[[#This Row],[Cost]]))</f>
        <v>134.99</v>
      </c>
      <c r="P4" s="9">
        <f>Table5[[#This Row],[$+Warr]]/Table5[[#This Row],[SizTB]]</f>
        <v>33.747500000000002</v>
      </c>
      <c r="Q4" s="16">
        <f>Table5[[#This Row],[$PerTB]]/$D$108</f>
        <v>6.7495000000000003</v>
      </c>
      <c r="R4" s="10"/>
      <c r="S4" s="11"/>
      <c r="T4" s="11"/>
    </row>
    <row r="5" spans="1:23">
      <c r="A5" s="1">
        <v>42860</v>
      </c>
      <c r="B5" t="s">
        <v>16</v>
      </c>
      <c r="C5" t="s">
        <v>17</v>
      </c>
      <c r="D5" s="56" t="s">
        <v>69</v>
      </c>
      <c r="E5">
        <v>7200</v>
      </c>
      <c r="F5" s="7">
        <v>5</v>
      </c>
      <c r="G5" s="2">
        <f>(Table5[[#This Row],[RPM]]/5400-1)</f>
        <v>0.33333333333333326</v>
      </c>
      <c r="H5">
        <v>3</v>
      </c>
      <c r="I5" s="29">
        <f t="shared" si="0"/>
        <v>30</v>
      </c>
      <c r="J5" s="8"/>
      <c r="K5" s="8">
        <v>6.9</v>
      </c>
      <c r="L5" s="8"/>
      <c r="M5" s="19">
        <v>249.61</v>
      </c>
      <c r="N5" s="16">
        <f>Table5[[#This Row],[Cost]]/Table5[[#This Row],[SizTB]]</f>
        <v>49.922000000000004</v>
      </c>
      <c r="O5" s="17">
        <f>Table5[[#This Row],[Cost]]+(($E$108-Table5[[#This Row],[Warnty]])*($E$109*Table5[[#This Row],[Cost]]))</f>
        <v>249.61</v>
      </c>
      <c r="P5" s="9">
        <f>Table5[[#This Row],[$+Warr]]/Table5[[#This Row],[SizTB]]</f>
        <v>49.922000000000004</v>
      </c>
      <c r="Q5" s="16">
        <f>Table5[[#This Row],[$PerTB]]/$D$108</f>
        <v>9.9844000000000008</v>
      </c>
      <c r="R5" s="10"/>
      <c r="S5" s="11"/>
      <c r="T5" s="11"/>
    </row>
    <row r="6" spans="1:23">
      <c r="A6" s="1">
        <v>42944</v>
      </c>
      <c r="B6" t="s">
        <v>16</v>
      </c>
      <c r="C6" t="s">
        <v>17</v>
      </c>
      <c r="D6" s="56" t="s">
        <v>69</v>
      </c>
      <c r="E6">
        <v>7200</v>
      </c>
      <c r="F6" s="7">
        <v>6</v>
      </c>
      <c r="G6" s="2">
        <f>(Table5[[#This Row],[RPM]]/5400-1)</f>
        <v>0.33333333333333326</v>
      </c>
      <c r="H6">
        <v>3</v>
      </c>
      <c r="I6" s="29">
        <f t="shared" si="0"/>
        <v>30</v>
      </c>
      <c r="J6" s="8"/>
      <c r="K6" s="8">
        <v>7.3</v>
      </c>
      <c r="L6" s="8"/>
      <c r="M6" s="19">
        <v>199.99</v>
      </c>
      <c r="N6" s="16">
        <f>Table5[[#This Row],[Cost]]/Table5[[#This Row],[SizTB]]</f>
        <v>33.331666666666671</v>
      </c>
      <c r="O6" s="17">
        <f>Table5[[#This Row],[Cost]]+(($E$108-Table5[[#This Row],[Warnty]])*($E$109*Table5[[#This Row],[Cost]]))</f>
        <v>199.99</v>
      </c>
      <c r="P6" s="9">
        <f>Table5[[#This Row],[$+Warr]]/Table5[[#This Row],[SizTB]]</f>
        <v>33.331666666666671</v>
      </c>
      <c r="Q6" s="16">
        <f>Table5[[#This Row],[$PerTB]]/$D$108</f>
        <v>6.6663333333333341</v>
      </c>
      <c r="R6" s="10"/>
      <c r="S6" s="10"/>
      <c r="T6" s="11"/>
    </row>
    <row r="7" spans="1:23">
      <c r="A7" s="1">
        <v>42944</v>
      </c>
      <c r="B7" t="s">
        <v>16</v>
      </c>
      <c r="C7" t="s">
        <v>17</v>
      </c>
      <c r="D7" s="56" t="s">
        <v>69</v>
      </c>
      <c r="E7">
        <v>7200</v>
      </c>
      <c r="F7" s="7">
        <v>8</v>
      </c>
      <c r="G7" s="2">
        <f>(Table5[[#This Row],[RPM]]/5400-1)</f>
        <v>0.33333333333333326</v>
      </c>
      <c r="H7">
        <v>3</v>
      </c>
      <c r="I7" s="29">
        <f t="shared" si="0"/>
        <v>30</v>
      </c>
      <c r="J7" s="8"/>
      <c r="K7" s="8">
        <v>5.0999999999999996</v>
      </c>
      <c r="L7" s="8"/>
      <c r="M7" s="19">
        <v>279.99</v>
      </c>
      <c r="N7" s="16">
        <f>Table5[[#This Row],[Cost]]/Table5[[#This Row],[SizTB]]</f>
        <v>34.998750000000001</v>
      </c>
      <c r="O7" s="17">
        <f>Table5[[#This Row],[Cost]]+(($E$108-Table5[[#This Row],[Warnty]])*($E$109*Table5[[#This Row],[Cost]]))</f>
        <v>279.99</v>
      </c>
      <c r="P7" s="9">
        <f>Table5[[#This Row],[$+Warr]]/Table5[[#This Row],[SizTB]]</f>
        <v>34.998750000000001</v>
      </c>
      <c r="Q7" s="16">
        <f>Table5[[#This Row],[$PerTB]]/$D$108</f>
        <v>6.9997500000000006</v>
      </c>
      <c r="R7" s="10"/>
      <c r="S7" s="10"/>
      <c r="T7" s="11"/>
    </row>
    <row r="8" spans="1:23">
      <c r="A8" s="1">
        <v>42887</v>
      </c>
      <c r="B8" t="s">
        <v>16</v>
      </c>
      <c r="C8" t="s">
        <v>61</v>
      </c>
      <c r="D8" s="56"/>
      <c r="E8">
        <v>7200</v>
      </c>
      <c r="F8" s="7">
        <v>1</v>
      </c>
      <c r="G8" s="2">
        <f>(Table5[[#This Row],[RPM]]/5400-1)</f>
        <v>0.33333333333333326</v>
      </c>
      <c r="H8">
        <v>3</v>
      </c>
      <c r="I8" s="29"/>
      <c r="J8" s="8"/>
      <c r="K8" s="8"/>
      <c r="L8" s="8"/>
      <c r="M8" s="19">
        <v>49.99</v>
      </c>
      <c r="N8" s="16">
        <f>Table5[[#This Row],[Cost]]/Table5[[#This Row],[SizTB]]</f>
        <v>49.99</v>
      </c>
      <c r="O8" s="17">
        <f>Table5[[#This Row],[Cost]]+(($E$108-Table5[[#This Row],[Warnty]])*($E$109*Table5[[#This Row],[Cost]]))</f>
        <v>49.99</v>
      </c>
      <c r="P8" s="9">
        <f>Table5[[#This Row],[$+Warr]]/Table5[[#This Row],[SizTB]]</f>
        <v>49.99</v>
      </c>
      <c r="Q8" s="16">
        <f>Table5[[#This Row],[$PerTB]]/$D$108</f>
        <v>9.9980000000000011</v>
      </c>
      <c r="R8" s="10"/>
      <c r="S8" s="11"/>
      <c r="T8" s="11"/>
      <c r="V8" s="2"/>
    </row>
    <row r="9" spans="1:23">
      <c r="A9" s="1">
        <v>42827</v>
      </c>
      <c r="B9" t="s">
        <v>16</v>
      </c>
      <c r="C9" t="s">
        <v>33</v>
      </c>
      <c r="D9" s="56" t="s">
        <v>69</v>
      </c>
      <c r="E9">
        <v>7200</v>
      </c>
      <c r="F9" s="7">
        <v>2</v>
      </c>
      <c r="G9" s="2">
        <f>(Table5[[#This Row],[RPM]]/5400-1)</f>
        <v>0.33333333333333326</v>
      </c>
      <c r="H9">
        <v>5</v>
      </c>
      <c r="I9" s="29"/>
      <c r="J9" s="8">
        <v>9.1</v>
      </c>
      <c r="K9" s="8">
        <v>7.1</v>
      </c>
      <c r="L9" s="8"/>
      <c r="M9" s="19">
        <v>149.34</v>
      </c>
      <c r="N9" s="16">
        <f>Table5[[#This Row],[Cost]]/Table5[[#This Row],[SizTB]]</f>
        <v>74.67</v>
      </c>
      <c r="O9" s="17">
        <f>Table5[[#This Row],[Cost]]+(($E$108-Table5[[#This Row],[Warnty]])*($E$109*Table5[[#This Row],[Cost]]))</f>
        <v>149.34</v>
      </c>
      <c r="P9" s="9">
        <f>Table5[[#This Row],[$+Warr]]/Table5[[#This Row],[SizTB]]</f>
        <v>74.67</v>
      </c>
      <c r="Q9" s="16">
        <f>Table5[[#This Row],[$PerTB]]/$D$108</f>
        <v>14.934000000000001</v>
      </c>
      <c r="R9" s="10"/>
      <c r="S9" s="11">
        <f>((30/(1000/Table5[[#This Row],[Watts Active]]/24)*$D$107)+(30/(1000/Table5[[#This Row],[Watts Idle]]/24)*(100%-$D$107)))*$D$106*12</f>
        <v>8.1</v>
      </c>
      <c r="T9" s="11">
        <f>Table5[[#This Row],[Energy$year]]/Table5[[#This Row],[SizTB]]</f>
        <v>4.05</v>
      </c>
      <c r="V9" s="2"/>
    </row>
    <row r="10" spans="1:23">
      <c r="A10" s="1">
        <v>42827</v>
      </c>
      <c r="B10" t="s">
        <v>16</v>
      </c>
      <c r="C10" t="s">
        <v>33</v>
      </c>
      <c r="D10" s="56" t="s">
        <v>69</v>
      </c>
      <c r="E10">
        <v>7200</v>
      </c>
      <c r="F10" s="7">
        <v>4</v>
      </c>
      <c r="G10" s="2">
        <f>(Table5[[#This Row],[RPM]]/5400-1)</f>
        <v>0.33333333333333326</v>
      </c>
      <c r="H10">
        <v>5</v>
      </c>
      <c r="I10" s="29"/>
      <c r="J10" s="8">
        <v>9.1</v>
      </c>
      <c r="K10" s="8">
        <v>7.1</v>
      </c>
      <c r="L10" s="8"/>
      <c r="M10" s="19">
        <v>255.99</v>
      </c>
      <c r="N10" s="16">
        <f>Table5[[#This Row],[Cost]]/Table5[[#This Row],[SizTB]]</f>
        <v>63.997500000000002</v>
      </c>
      <c r="O10" s="17">
        <f>Table5[[#This Row],[Cost]]+(($E$108-Table5[[#This Row],[Warnty]])*($E$109*Table5[[#This Row],[Cost]]))</f>
        <v>255.99</v>
      </c>
      <c r="P10" s="9">
        <f>Table5[[#This Row],[$+Warr]]/Table5[[#This Row],[SizTB]]</f>
        <v>63.997500000000002</v>
      </c>
      <c r="Q10" s="16">
        <f>Table5[[#This Row],[$PerTB]]/$D$108</f>
        <v>12.7995</v>
      </c>
      <c r="R10" s="10"/>
      <c r="S10" s="11">
        <f>((30/(1000/Table5[[#This Row],[Watts Active]]/24)*$D$107)+(30/(1000/Table5[[#This Row],[Watts Idle]]/24)*(100%-$D$107)))*$D$106*12</f>
        <v>8.1</v>
      </c>
      <c r="T10" s="11">
        <f>Table5[[#This Row],[Energy$year]]/Table5[[#This Row],[SizTB]]</f>
        <v>2.0249999999999999</v>
      </c>
      <c r="V10" s="2"/>
    </row>
    <row r="11" spans="1:23">
      <c r="A11" s="1">
        <v>42827</v>
      </c>
      <c r="B11" t="s">
        <v>16</v>
      </c>
      <c r="C11" t="s">
        <v>33</v>
      </c>
      <c r="D11" s="56" t="s">
        <v>69</v>
      </c>
      <c r="E11">
        <v>7200</v>
      </c>
      <c r="F11" s="7">
        <v>5</v>
      </c>
      <c r="G11" s="2">
        <f>(Table5[[#This Row],[RPM]]/5400-1)</f>
        <v>0.33333333333333326</v>
      </c>
      <c r="H11">
        <v>5</v>
      </c>
      <c r="I11" s="29"/>
      <c r="J11" s="8">
        <v>9.1</v>
      </c>
      <c r="K11" s="8">
        <v>7.1</v>
      </c>
      <c r="L11" s="8"/>
      <c r="M11" s="19">
        <v>381.42</v>
      </c>
      <c r="N11" s="16">
        <f>Table5[[#This Row],[Cost]]/Table5[[#This Row],[SizTB]]</f>
        <v>76.284000000000006</v>
      </c>
      <c r="O11" s="17">
        <f>Table5[[#This Row],[Cost]]+(($E$108-Table5[[#This Row],[Warnty]])*($E$109*Table5[[#This Row],[Cost]]))</f>
        <v>381.42</v>
      </c>
      <c r="P11" s="9">
        <f>Table5[[#This Row],[$+Warr]]/Table5[[#This Row],[SizTB]]</f>
        <v>76.284000000000006</v>
      </c>
      <c r="Q11" s="16">
        <f>Table5[[#This Row],[$PerTB]]/$D$108</f>
        <v>15.256800000000002</v>
      </c>
      <c r="R11" s="10"/>
      <c r="S11" s="11">
        <f>((30/(1000/Table5[[#This Row],[Watts Active]]/24)*$D$107)+(30/(1000/Table5[[#This Row],[Watts Idle]]/24)*(100%-$D$107)))*$D$106*12</f>
        <v>8.1</v>
      </c>
      <c r="T11" s="11">
        <f>Table5[[#This Row],[Energy$year]]/Table5[[#This Row],[SizTB]]</f>
        <v>1.6199999999999999</v>
      </c>
      <c r="V11" s="2"/>
    </row>
    <row r="12" spans="1:23">
      <c r="A12" s="1">
        <v>42827</v>
      </c>
      <c r="B12" t="s">
        <v>16</v>
      </c>
      <c r="C12" t="s">
        <v>33</v>
      </c>
      <c r="D12" s="56" t="s">
        <v>69</v>
      </c>
      <c r="E12">
        <v>7200</v>
      </c>
      <c r="F12" s="7">
        <v>6</v>
      </c>
      <c r="G12" s="2">
        <f>(Table5[[#This Row],[RPM]]/5400-1)</f>
        <v>0.33333333333333326</v>
      </c>
      <c r="H12">
        <v>5</v>
      </c>
      <c r="I12" s="29"/>
      <c r="J12" s="8">
        <v>9.1</v>
      </c>
      <c r="K12" s="8">
        <v>7.1</v>
      </c>
      <c r="L12" s="8"/>
      <c r="M12" s="19">
        <v>301.52999999999997</v>
      </c>
      <c r="N12" s="16">
        <f>Table5[[#This Row],[Cost]]/Table5[[#This Row],[SizTB]]</f>
        <v>50.254999999999995</v>
      </c>
      <c r="O12" s="17">
        <f>Table5[[#This Row],[Cost]]+(($E$108-Table5[[#This Row],[Warnty]])*($E$109*Table5[[#This Row],[Cost]]))</f>
        <v>301.52999999999997</v>
      </c>
      <c r="P12" s="9">
        <f>Table5[[#This Row],[$+Warr]]/Table5[[#This Row],[SizTB]]</f>
        <v>50.254999999999995</v>
      </c>
      <c r="Q12" s="16">
        <f>Table5[[#This Row],[$PerTB]]/$D$108</f>
        <v>10.050999999999998</v>
      </c>
      <c r="R12" s="10"/>
      <c r="S12" s="11">
        <f>((30/(1000/Table5[[#This Row],[Watts Active]]/24)*$D$107)+(30/(1000/Table5[[#This Row],[Watts Idle]]/24)*(100%-$D$107)))*$D$106*12</f>
        <v>8.1</v>
      </c>
      <c r="T12" s="11">
        <f>Table5[[#This Row],[Energy$year]]/Table5[[#This Row],[SizTB]]</f>
        <v>1.3499999999999999</v>
      </c>
      <c r="V12" s="2"/>
    </row>
    <row r="13" spans="1:23">
      <c r="A13" s="1">
        <v>42846</v>
      </c>
      <c r="B13" t="s">
        <v>16</v>
      </c>
      <c r="C13" t="s">
        <v>34</v>
      </c>
      <c r="D13" s="56"/>
      <c r="E13">
        <v>7200</v>
      </c>
      <c r="F13" s="7">
        <v>8</v>
      </c>
      <c r="G13" s="2">
        <f>(Table5[[#This Row],[RPM]]/5400-1)</f>
        <v>0.33333333333333326</v>
      </c>
      <c r="H13">
        <v>5</v>
      </c>
      <c r="I13" s="29"/>
      <c r="J13" s="8">
        <v>7.6</v>
      </c>
      <c r="K13" s="8">
        <v>5.0999999999999996</v>
      </c>
      <c r="L13" s="8"/>
      <c r="M13" s="19">
        <v>373</v>
      </c>
      <c r="N13" s="16">
        <f>Table5[[#This Row],[Cost]]/Table5[[#This Row],[SizTB]]</f>
        <v>46.625</v>
      </c>
      <c r="O13" s="17">
        <f>Table5[[#This Row],[Cost]]+(($E$108-Table5[[#This Row],[Warnty]])*($E$109*Table5[[#This Row],[Cost]]))</f>
        <v>373</v>
      </c>
      <c r="P13" s="9">
        <f>Table5[[#This Row],[$+Warr]]/Table5[[#This Row],[SizTB]]</f>
        <v>46.625</v>
      </c>
      <c r="Q13" s="16">
        <f>Table5[[#This Row],[$PerTB]]/$D$108</f>
        <v>9.3249999999999993</v>
      </c>
      <c r="R13" s="10"/>
      <c r="S13" s="11">
        <f>((30/(1000/Table5[[#This Row],[Watts Active]]/24)*$D$107)+(30/(1000/Table5[[#This Row],[Watts Idle]]/24)*(100%-$D$107)))*$D$106*12</f>
        <v>6.048</v>
      </c>
      <c r="T13" s="11">
        <f>Table5[[#This Row],[Energy$year]]/Table5[[#This Row],[SizTB]]</f>
        <v>0.75600000000000001</v>
      </c>
      <c r="U13" t="s">
        <v>50</v>
      </c>
      <c r="V13" s="2"/>
    </row>
    <row r="14" spans="1:23">
      <c r="A14" s="1">
        <v>42827</v>
      </c>
      <c r="B14" t="s">
        <v>16</v>
      </c>
      <c r="C14" t="s">
        <v>52</v>
      </c>
      <c r="D14" s="56" t="s">
        <v>69</v>
      </c>
      <c r="E14">
        <v>10520</v>
      </c>
      <c r="F14" s="7">
        <v>1.8</v>
      </c>
      <c r="G14" s="2">
        <f>(Table5[[#This Row],[RPM]]/5400-1)</f>
        <v>0.94814814814814818</v>
      </c>
      <c r="H14">
        <v>5</v>
      </c>
      <c r="I14" s="29"/>
      <c r="J14" s="8">
        <v>7.4</v>
      </c>
      <c r="K14" s="8">
        <v>5.0999999999999996</v>
      </c>
      <c r="L14" s="8"/>
      <c r="M14" s="19">
        <v>584.89</v>
      </c>
      <c r="N14" s="16">
        <f>Table5[[#This Row],[Cost]]/Table5[[#This Row],[SizTB]]</f>
        <v>324.93888888888887</v>
      </c>
      <c r="O14" s="17">
        <f>Table5[[#This Row],[Cost]]+(($E$108-Table5[[#This Row],[Warnty]])*($E$109*Table5[[#This Row],[Cost]]))</f>
        <v>584.89</v>
      </c>
      <c r="P14" s="9">
        <f>Table5[[#This Row],[$+Warr]]/Table5[[#This Row],[SizTB]]</f>
        <v>324.93888888888887</v>
      </c>
      <c r="Q14" s="16">
        <f>Table5[[#This Row],[$PerTB]]/$D$108</f>
        <v>64.987777777777779</v>
      </c>
      <c r="R14" s="10"/>
      <c r="S14" s="11">
        <f>((30/(1000/Table5[[#This Row],[Watts Active]]/24)*$D$107)+(30/(1000/Table5[[#This Row],[Watts Idle]]/24)*(100%-$D$107)))*$D$106*12</f>
        <v>6.0047999999999995</v>
      </c>
      <c r="T14" s="11">
        <f>Table5[[#This Row],[Energy$year]]/Table5[[#This Row],[SizTB]]</f>
        <v>3.3359999999999994</v>
      </c>
      <c r="V14" s="2"/>
    </row>
    <row r="15" spans="1:23">
      <c r="A15" s="1">
        <v>42813</v>
      </c>
      <c r="B15" t="s">
        <v>11</v>
      </c>
      <c r="C15" t="s">
        <v>22</v>
      </c>
      <c r="D15" s="56"/>
      <c r="E15">
        <v>5900</v>
      </c>
      <c r="F15" s="7">
        <v>5</v>
      </c>
      <c r="G15" s="2">
        <f>(Table5[[#This Row],[RPM]]/5400-1)</f>
        <v>9.259259259259256E-2</v>
      </c>
      <c r="H15">
        <v>3</v>
      </c>
      <c r="I15" s="29">
        <v>24</v>
      </c>
      <c r="J15" s="8">
        <v>5.5</v>
      </c>
      <c r="K15" s="8">
        <v>3.5</v>
      </c>
      <c r="L15" s="8">
        <v>0.74</v>
      </c>
      <c r="M15" s="19">
        <v>192.01</v>
      </c>
      <c r="N15" s="16">
        <f>Table5[[#This Row],[Cost]]/Table5[[#This Row],[SizTB]]</f>
        <v>38.402000000000001</v>
      </c>
      <c r="O15" s="17">
        <f>Table5[[#This Row],[Cost]]+(($E$108-Table5[[#This Row],[Warnty]])*($E$109*Table5[[#This Row],[Cost]]))</f>
        <v>192.01</v>
      </c>
      <c r="P15" s="9">
        <f>Table5[[#This Row],[$+Warr]]/Table5[[#This Row],[SizTB]]</f>
        <v>38.402000000000001</v>
      </c>
      <c r="Q15" s="16">
        <f>Table5[[#This Row],[$PerTB]]/$D$108</f>
        <v>7.6804000000000006</v>
      </c>
      <c r="R15" s="10"/>
      <c r="S15" s="11">
        <f>((30/(1000/Table5[[#This Row],[Watts Active]]/24)*$D$107)+(30/(1000/Table5[[#This Row],[Watts Idle]]/24)*(100%-$D$107)))*$D$106*12</f>
        <v>4.2120000000000006</v>
      </c>
      <c r="T15" s="11">
        <f>Table5[[#This Row],[Energy$year]]/Table5[[#This Row],[SizTB]]</f>
        <v>0.84240000000000015</v>
      </c>
    </row>
    <row r="16" spans="1:23">
      <c r="A16" s="1">
        <v>42868</v>
      </c>
      <c r="B16" t="s">
        <v>11</v>
      </c>
      <c r="C16" t="s">
        <v>22</v>
      </c>
      <c r="D16" s="56"/>
      <c r="E16">
        <v>5900</v>
      </c>
      <c r="F16" s="7">
        <v>6</v>
      </c>
      <c r="G16" s="2">
        <f>(Table5[[#This Row],[RPM]]/5400-1)</f>
        <v>9.259259259259256E-2</v>
      </c>
      <c r="H16">
        <v>3</v>
      </c>
      <c r="I16" s="29">
        <v>24</v>
      </c>
      <c r="J16" s="8">
        <v>7.5</v>
      </c>
      <c r="K16" s="8">
        <v>5</v>
      </c>
      <c r="L16" s="8">
        <v>0.99</v>
      </c>
      <c r="M16" s="19">
        <v>203.47</v>
      </c>
      <c r="N16" s="16">
        <f>Table5[[#This Row],[Cost]]/Table5[[#This Row],[SizTB]]</f>
        <v>33.911666666666669</v>
      </c>
      <c r="O16" s="17">
        <f>Table5[[#This Row],[Cost]]+(($E$108-Table5[[#This Row],[Warnty]])*($E$109*Table5[[#This Row],[Cost]]))</f>
        <v>203.47</v>
      </c>
      <c r="P16" s="9">
        <f>Table5[[#This Row],[$+Warr]]/Table5[[#This Row],[SizTB]]</f>
        <v>33.911666666666669</v>
      </c>
      <c r="Q16" s="16">
        <f>Table5[[#This Row],[$PerTB]]/$D$108</f>
        <v>6.7823333333333338</v>
      </c>
      <c r="R16" s="10"/>
      <c r="S16" s="11">
        <f>((30/(1000/Table5[[#This Row],[Watts Active]]/24)*$D$107)+(30/(1000/Table5[[#This Row],[Watts Idle]]/24)*(100%-$D$107)))*$D$106*12</f>
        <v>5.9399999999999995</v>
      </c>
      <c r="T16" s="20">
        <f>Table5[[#This Row],[Energy$year]]/Table5[[#This Row],[SizTB]]</f>
        <v>0.98999999999999988</v>
      </c>
    </row>
    <row r="17" spans="1:20">
      <c r="A17" s="1">
        <v>42868</v>
      </c>
      <c r="B17" t="s">
        <v>11</v>
      </c>
      <c r="C17" t="s">
        <v>22</v>
      </c>
      <c r="D17" s="56"/>
      <c r="E17">
        <v>5900</v>
      </c>
      <c r="F17" s="7">
        <v>8</v>
      </c>
      <c r="G17" s="2">
        <f>(Table5[[#This Row],[RPM]]/5400-1)</f>
        <v>9.259259259259256E-2</v>
      </c>
      <c r="H17">
        <v>3</v>
      </c>
      <c r="I17" s="29">
        <v>24</v>
      </c>
      <c r="J17" s="8">
        <v>7.5</v>
      </c>
      <c r="K17" s="8">
        <v>5</v>
      </c>
      <c r="L17" s="8">
        <v>0.99</v>
      </c>
      <c r="M17" s="19">
        <f>229.88*0.9</f>
        <v>206.892</v>
      </c>
      <c r="N17" s="16">
        <f>Table5[[#This Row],[Cost]]/Table5[[#This Row],[SizTB]]</f>
        <v>25.861499999999999</v>
      </c>
      <c r="O17" s="17">
        <f>Table5[[#This Row],[Cost]]+(($E$108-Table5[[#This Row],[Warnty]])*($E$109*Table5[[#This Row],[Cost]]))</f>
        <v>206.892</v>
      </c>
      <c r="P17" s="9">
        <f>Table5[[#This Row],[$+Warr]]/Table5[[#This Row],[SizTB]]</f>
        <v>25.861499999999999</v>
      </c>
      <c r="Q17" s="16">
        <f>Table5[[#This Row],[$PerTB]]/$D$108</f>
        <v>5.1722999999999999</v>
      </c>
      <c r="R17" s="10"/>
      <c r="S17" s="11">
        <f>((30/(1000/Table5[[#This Row],[Watts Active]]/24)*$D$107)+(30/(1000/Table5[[#This Row],[Watts Idle]]/24)*(100%-$D$107)))*$D$106*12</f>
        <v>5.9399999999999995</v>
      </c>
      <c r="T17" s="11">
        <f>Table5[[#This Row],[Energy$year]]/Table5[[#This Row],[SizTB]]</f>
        <v>0.74249999999999994</v>
      </c>
    </row>
    <row r="18" spans="1:20">
      <c r="A18" s="1">
        <v>42853</v>
      </c>
      <c r="B18" t="s">
        <v>11</v>
      </c>
      <c r="C18" t="s">
        <v>12</v>
      </c>
      <c r="D18" s="56"/>
      <c r="E18">
        <v>5400</v>
      </c>
      <c r="F18" s="7">
        <v>1</v>
      </c>
      <c r="G18" s="2">
        <f>(Table5[[#This Row],[RPM]]/5400-1)</f>
        <v>0</v>
      </c>
      <c r="H18">
        <v>2</v>
      </c>
      <c r="I18" s="29">
        <v>24</v>
      </c>
      <c r="J18" s="8">
        <v>5.3</v>
      </c>
      <c r="K18" s="8">
        <v>4.5999999999999996</v>
      </c>
      <c r="L18" s="8">
        <v>0.94</v>
      </c>
      <c r="M18" s="19">
        <v>49.99</v>
      </c>
      <c r="N18" s="16">
        <f>Table5[[#This Row],[Cost]]/Table5[[#This Row],[SizTB]]</f>
        <v>49.99</v>
      </c>
      <c r="O18" s="17">
        <f>Table5[[#This Row],[Cost]]+(($E$108-Table5[[#This Row],[Warnty]])*($E$109*Table5[[#This Row],[Cost]]))</f>
        <v>49.99</v>
      </c>
      <c r="P18" s="9">
        <f>Table5[[#This Row],[$+Warr]]/Table5[[#This Row],[SizTB]]</f>
        <v>49.99</v>
      </c>
      <c r="Q18" s="16">
        <f>Table5[[#This Row],[$PerTB]]/$D$108</f>
        <v>9.9980000000000011</v>
      </c>
      <c r="R18" s="10"/>
      <c r="S18" s="11">
        <f>((30/(1000/Table5[[#This Row],[Watts Active]]/24)*$D$107)+(30/(1000/Table5[[#This Row],[Watts Idle]]/24)*(100%-$D$107)))*$D$106*12</f>
        <v>5.1191999999999993</v>
      </c>
      <c r="T18" s="11">
        <f>Table5[[#This Row],[Energy$year]]/Table5[[#This Row],[SizTB]]</f>
        <v>5.1191999999999993</v>
      </c>
    </row>
    <row r="19" spans="1:20">
      <c r="A19" s="1">
        <v>42873</v>
      </c>
      <c r="B19" t="s">
        <v>11</v>
      </c>
      <c r="C19" t="s">
        <v>12</v>
      </c>
      <c r="D19" s="56"/>
      <c r="E19">
        <v>5400</v>
      </c>
      <c r="F19" s="7">
        <v>2</v>
      </c>
      <c r="G19" s="2">
        <f>(Table5[[#This Row],[RPM]]/5400-1)</f>
        <v>0</v>
      </c>
      <c r="H19">
        <v>2</v>
      </c>
      <c r="I19" s="29">
        <v>24</v>
      </c>
      <c r="J19" s="8">
        <v>8</v>
      </c>
      <c r="K19" s="8">
        <v>5.4</v>
      </c>
      <c r="L19" s="8">
        <v>0.75</v>
      </c>
      <c r="M19" s="19">
        <v>59.99</v>
      </c>
      <c r="N19" s="16">
        <f>Table5[[#This Row],[Cost]]/Table5[[#This Row],[SizTB]]</f>
        <v>29.995000000000001</v>
      </c>
      <c r="O19" s="17">
        <f>Table5[[#This Row],[Cost]]+(($E$108-Table5[[#This Row],[Warnty]])*($E$109*Table5[[#This Row],[Cost]]))</f>
        <v>59.99</v>
      </c>
      <c r="P19" s="9">
        <f>Table5[[#This Row],[$+Warr]]/Table5[[#This Row],[SizTB]]</f>
        <v>29.995000000000001</v>
      </c>
      <c r="Q19" s="16">
        <f>Table5[[#This Row],[$PerTB]]/$D$108</f>
        <v>5.9990000000000006</v>
      </c>
      <c r="R19" s="10"/>
      <c r="S19" s="11">
        <f>((30/(1000/Table5[[#This Row],[Watts Active]]/24)*$D$107)+(30/(1000/Table5[[#This Row],[Watts Idle]]/24)*(100%-$D$107)))*$D$106*12</f>
        <v>6.3936000000000019</v>
      </c>
      <c r="T19" s="11">
        <f>Table5[[#This Row],[Energy$year]]/Table5[[#This Row],[SizTB]]</f>
        <v>3.196800000000001</v>
      </c>
    </row>
    <row r="20" spans="1:20">
      <c r="A20" s="1">
        <v>42947</v>
      </c>
      <c r="B20" t="s">
        <v>11</v>
      </c>
      <c r="C20" t="s">
        <v>12</v>
      </c>
      <c r="D20" s="56"/>
      <c r="E20">
        <v>5400</v>
      </c>
      <c r="F20" s="7">
        <v>3</v>
      </c>
      <c r="G20" s="2">
        <f>(Table5[[#This Row],[RPM]]/5400-1)</f>
        <v>0</v>
      </c>
      <c r="H20">
        <v>2</v>
      </c>
      <c r="I20" s="29">
        <v>24</v>
      </c>
      <c r="J20" s="8">
        <v>8</v>
      </c>
      <c r="K20" s="8">
        <v>5.4</v>
      </c>
      <c r="L20" s="8">
        <v>0.75</v>
      </c>
      <c r="M20" s="19">
        <f>83.72-13.73</f>
        <v>69.989999999999995</v>
      </c>
      <c r="N20" s="16">
        <f>Table5[[#This Row],[Cost]]/Table5[[#This Row],[SizTB]]</f>
        <v>23.33</v>
      </c>
      <c r="O20" s="17">
        <f>Table5[[#This Row],[Cost]]+(($E$108-Table5[[#This Row],[Warnty]])*($E$109*Table5[[#This Row],[Cost]]))</f>
        <v>69.989999999999995</v>
      </c>
      <c r="P20" s="9">
        <f>Table5[[#This Row],[$+Warr]]/Table5[[#This Row],[SizTB]]</f>
        <v>23.33</v>
      </c>
      <c r="Q20" s="16">
        <f>Table5[[#This Row],[$PerTB]]/$D$108</f>
        <v>4.6659999999999995</v>
      </c>
      <c r="R20" s="10"/>
      <c r="S20" s="11">
        <f>((30/(1000/Table5[[#This Row],[Watts Active]]/24)*$D$107)+(30/(1000/Table5[[#This Row],[Watts Idle]]/24)*(100%-$D$107)))*$D$106*12</f>
        <v>6.3936000000000019</v>
      </c>
      <c r="T20" s="11">
        <f>Table5[[#This Row],[Energy$year]]/Table5[[#This Row],[SizTB]]</f>
        <v>2.1312000000000006</v>
      </c>
    </row>
    <row r="21" spans="1:20">
      <c r="A21" s="1">
        <v>42853</v>
      </c>
      <c r="B21" t="s">
        <v>11</v>
      </c>
      <c r="C21" t="s">
        <v>12</v>
      </c>
      <c r="D21" s="56"/>
      <c r="E21">
        <v>5400</v>
      </c>
      <c r="F21" s="7">
        <v>4</v>
      </c>
      <c r="G21" s="2">
        <f>(Table5[[#This Row],[RPM]]/5400-1)</f>
        <v>0</v>
      </c>
      <c r="H21">
        <v>2</v>
      </c>
      <c r="I21" s="29">
        <v>24</v>
      </c>
      <c r="J21" s="8">
        <v>5.6</v>
      </c>
      <c r="K21" s="8">
        <v>4</v>
      </c>
      <c r="L21" s="8">
        <v>0.5</v>
      </c>
      <c r="M21" s="19">
        <v>118.99</v>
      </c>
      <c r="N21" s="16">
        <f>Table5[[#This Row],[Cost]]/Table5[[#This Row],[SizTB]]</f>
        <v>29.747499999999999</v>
      </c>
      <c r="O21" s="17">
        <f>Table5[[#This Row],[Cost]]+(($E$108-Table5[[#This Row],[Warnty]])*($E$109*Table5[[#This Row],[Cost]]))</f>
        <v>118.99</v>
      </c>
      <c r="P21" s="9">
        <f>Table5[[#This Row],[$+Warr]]/Table5[[#This Row],[SizTB]]</f>
        <v>29.747499999999999</v>
      </c>
      <c r="Q21" s="16">
        <f>Table5[[#This Row],[$PerTB]]/$D$108</f>
        <v>5.9494999999999996</v>
      </c>
      <c r="R21" s="10"/>
      <c r="S21" s="11">
        <f>((30/(1000/Table5[[#This Row],[Watts Active]]/24)*$D$107)+(30/(1000/Table5[[#This Row],[Watts Idle]]/24)*(100%-$D$107)))*$D$106*12</f>
        <v>4.6656000000000004</v>
      </c>
      <c r="T21" s="11">
        <f>Table5[[#This Row],[Energy$year]]/Table5[[#This Row],[SizTB]]</f>
        <v>1.1664000000000001</v>
      </c>
    </row>
    <row r="22" spans="1:20">
      <c r="A22" s="1">
        <v>42947</v>
      </c>
      <c r="B22" t="s">
        <v>11</v>
      </c>
      <c r="C22" t="s">
        <v>66</v>
      </c>
      <c r="D22" s="56"/>
      <c r="E22">
        <v>5400</v>
      </c>
      <c r="F22" s="7">
        <v>1</v>
      </c>
      <c r="G22" s="2">
        <f>(Table5[[#This Row],[RPM]]/5400-1)</f>
        <v>0</v>
      </c>
      <c r="H22">
        <v>2</v>
      </c>
      <c r="I22" s="29">
        <f>1*5</f>
        <v>5</v>
      </c>
      <c r="J22" s="8">
        <v>1.7</v>
      </c>
      <c r="K22" s="8">
        <v>0.45</v>
      </c>
      <c r="L22" s="8"/>
      <c r="M22" s="19">
        <v>48.99</v>
      </c>
      <c r="N22" s="16">
        <f>Table5[[#This Row],[Cost]]/Table5[[#This Row],[SizTB]]</f>
        <v>48.99</v>
      </c>
      <c r="O22" s="17">
        <f>Table5[[#This Row],[Cost]]+(($E$108-Table5[[#This Row],[Warnty]])*($E$109*Table5[[#This Row],[Cost]]))</f>
        <v>48.99</v>
      </c>
      <c r="P22" s="9">
        <f>Table5[[#This Row],[$+Warr]]/Table5[[#This Row],[SizTB]]</f>
        <v>48.99</v>
      </c>
      <c r="Q22" s="16">
        <f>Table5[[#This Row],[$PerTB]]/$D$108</f>
        <v>9.798</v>
      </c>
      <c r="R22" s="10"/>
      <c r="S22" s="11">
        <f>((30/(1000/Table5[[#This Row],[Watts Active]]/24)*$D$107)+(30/(1000/Table5[[#This Row],[Watts Idle]]/24)*(100%-$D$107)))*$D$106*12</f>
        <v>0.75600000000000001</v>
      </c>
      <c r="T22" s="11">
        <f>Table5[[#This Row],[Energy$year]]/Table5[[#This Row],[SizTB]]</f>
        <v>0.75600000000000001</v>
      </c>
    </row>
    <row r="23" spans="1:20">
      <c r="A23" s="1">
        <v>42947</v>
      </c>
      <c r="B23" t="s">
        <v>11</v>
      </c>
      <c r="C23" t="s">
        <v>66</v>
      </c>
      <c r="D23" s="56"/>
      <c r="E23">
        <v>5400</v>
      </c>
      <c r="F23" s="7">
        <v>2</v>
      </c>
      <c r="G23" s="2">
        <f>(Table5[[#This Row],[RPM]]/5400-1)</f>
        <v>0</v>
      </c>
      <c r="H23">
        <v>2</v>
      </c>
      <c r="I23" s="29">
        <f>1*5</f>
        <v>5</v>
      </c>
      <c r="J23" s="8">
        <v>1.8</v>
      </c>
      <c r="K23" s="8">
        <v>0.5</v>
      </c>
      <c r="L23" s="8"/>
      <c r="M23" s="19">
        <v>88.99</v>
      </c>
      <c r="N23" s="16">
        <f>Table5[[#This Row],[Cost]]/Table5[[#This Row],[SizTB]]</f>
        <v>44.494999999999997</v>
      </c>
      <c r="O23" s="17">
        <f>Table5[[#This Row],[Cost]]+(($E$108-Table5[[#This Row],[Warnty]])*($E$109*Table5[[#This Row],[Cost]]))</f>
        <v>88.99</v>
      </c>
      <c r="P23" s="9">
        <f>Table5[[#This Row],[$+Warr]]/Table5[[#This Row],[SizTB]]</f>
        <v>44.494999999999997</v>
      </c>
      <c r="Q23" s="16">
        <f>Table5[[#This Row],[$PerTB]]/$D$108</f>
        <v>8.8989999999999991</v>
      </c>
      <c r="R23" s="10"/>
      <c r="S23" s="11">
        <f>((30/(1000/Table5[[#This Row],[Watts Active]]/24)*$D$107)+(30/(1000/Table5[[#This Row],[Watts Idle]]/24)*(100%-$D$107)))*$D$106*12</f>
        <v>0.8208000000000002</v>
      </c>
      <c r="T23" s="11">
        <f>Table5[[#This Row],[Energy$year]]/Table5[[#This Row],[SizTB]]</f>
        <v>0.4104000000000001</v>
      </c>
    </row>
    <row r="24" spans="1:20">
      <c r="A24" s="1">
        <v>42947</v>
      </c>
      <c r="B24" t="s">
        <v>11</v>
      </c>
      <c r="C24" t="s">
        <v>66</v>
      </c>
      <c r="D24" s="56"/>
      <c r="E24">
        <v>5400</v>
      </c>
      <c r="F24" s="7">
        <v>3</v>
      </c>
      <c r="G24" s="2">
        <f>(Table5[[#This Row],[RPM]]/5400-1)</f>
        <v>0</v>
      </c>
      <c r="H24">
        <v>2</v>
      </c>
      <c r="I24" s="29">
        <f>1.2*5</f>
        <v>6</v>
      </c>
      <c r="J24" s="8">
        <v>2.1</v>
      </c>
      <c r="K24" s="8">
        <v>1.1000000000000001</v>
      </c>
      <c r="L24" s="8"/>
      <c r="M24" s="19">
        <v>139.99</v>
      </c>
      <c r="N24" s="16">
        <f>Table5[[#This Row],[Cost]]/Table5[[#This Row],[SizTB]]</f>
        <v>46.663333333333334</v>
      </c>
      <c r="O24" s="17">
        <f>Table5[[#This Row],[Cost]]+(($E$108-Table5[[#This Row],[Warnty]])*($E$109*Table5[[#This Row],[Cost]]))</f>
        <v>139.99</v>
      </c>
      <c r="P24" s="9">
        <f>Table5[[#This Row],[$+Warr]]/Table5[[#This Row],[SizTB]]</f>
        <v>46.663333333333334</v>
      </c>
      <c r="Q24" s="16">
        <f>Table5[[#This Row],[$PerTB]]/$D$108</f>
        <v>9.3326666666666664</v>
      </c>
      <c r="R24" s="10"/>
      <c r="S24" s="11">
        <f>((30/(1000/Table5[[#This Row],[Watts Active]]/24)*$D$107)+(30/(1000/Table5[[#This Row],[Watts Idle]]/24)*(100%-$D$107)))*$D$106*12</f>
        <v>1.4040000000000004</v>
      </c>
      <c r="T24" s="11">
        <f>Table5[[#This Row],[Energy$year]]/Table5[[#This Row],[SizTB]]</f>
        <v>0.46800000000000014</v>
      </c>
    </row>
    <row r="25" spans="1:20">
      <c r="A25" s="1">
        <v>42947</v>
      </c>
      <c r="B25" t="s">
        <v>11</v>
      </c>
      <c r="C25" t="s">
        <v>66</v>
      </c>
      <c r="D25" s="56"/>
      <c r="E25">
        <v>5400</v>
      </c>
      <c r="F25" s="7">
        <v>4</v>
      </c>
      <c r="G25" s="2">
        <f>(Table5[[#This Row],[RPM]]/5400-1)</f>
        <v>0</v>
      </c>
      <c r="H25">
        <v>2</v>
      </c>
      <c r="I25" s="29">
        <f>1.2*5</f>
        <v>6</v>
      </c>
      <c r="J25" s="8">
        <v>2.1</v>
      </c>
      <c r="K25" s="8">
        <v>1.1000000000000001</v>
      </c>
      <c r="L25" s="8"/>
      <c r="M25" s="19">
        <v>179.99</v>
      </c>
      <c r="N25" s="16">
        <f>Table5[[#This Row],[Cost]]/Table5[[#This Row],[SizTB]]</f>
        <v>44.997500000000002</v>
      </c>
      <c r="O25" s="17">
        <f>Table5[[#This Row],[Cost]]+(($E$108-Table5[[#This Row],[Warnty]])*($E$109*Table5[[#This Row],[Cost]]))</f>
        <v>179.99</v>
      </c>
      <c r="P25" s="9">
        <f>Table5[[#This Row],[$+Warr]]/Table5[[#This Row],[SizTB]]</f>
        <v>44.997500000000002</v>
      </c>
      <c r="Q25" s="16">
        <f>Table5[[#This Row],[$PerTB]]/$D$108</f>
        <v>8.9995000000000012</v>
      </c>
      <c r="R25" s="10"/>
      <c r="S25" s="11">
        <f>((30/(1000/Table5[[#This Row],[Watts Active]]/24)*$D$107)+(30/(1000/Table5[[#This Row],[Watts Idle]]/24)*(100%-$D$107)))*$D$106*12</f>
        <v>1.4040000000000004</v>
      </c>
      <c r="T25" s="11">
        <f>Table5[[#This Row],[Energy$year]]/Table5[[#This Row],[SizTB]]</f>
        <v>0.35100000000000009</v>
      </c>
    </row>
    <row r="26" spans="1:20">
      <c r="A26" s="1">
        <v>42947</v>
      </c>
      <c r="B26" t="s">
        <v>11</v>
      </c>
      <c r="C26" t="s">
        <v>66</v>
      </c>
      <c r="D26" s="56"/>
      <c r="E26">
        <v>5400</v>
      </c>
      <c r="F26" s="7">
        <v>5</v>
      </c>
      <c r="G26" s="2">
        <f>(Table5[[#This Row],[RPM]]/5400-1)</f>
        <v>0</v>
      </c>
      <c r="H26">
        <v>2</v>
      </c>
      <c r="I26" s="29">
        <f>1.2*5</f>
        <v>6</v>
      </c>
      <c r="J26" s="8">
        <v>2.1</v>
      </c>
      <c r="K26" s="8">
        <v>1.1000000000000001</v>
      </c>
      <c r="L26" s="8"/>
      <c r="M26" s="19">
        <v>219.99</v>
      </c>
      <c r="N26" s="16">
        <f>Table5[[#This Row],[Cost]]/Table5[[#This Row],[SizTB]]</f>
        <v>43.998000000000005</v>
      </c>
      <c r="O26" s="17">
        <f>Table5[[#This Row],[Cost]]+(($E$108-Table5[[#This Row],[Warnty]])*($E$109*Table5[[#This Row],[Cost]]))</f>
        <v>219.99</v>
      </c>
      <c r="P26" s="9">
        <f>Table5[[#This Row],[$+Warr]]/Table5[[#This Row],[SizTB]]</f>
        <v>43.998000000000005</v>
      </c>
      <c r="Q26" s="16">
        <f>Table5[[#This Row],[$PerTB]]/$D$108</f>
        <v>8.7996000000000016</v>
      </c>
      <c r="R26" s="10"/>
      <c r="S26" s="11">
        <f>((30/(1000/Table5[[#This Row],[Watts Active]]/24)*$D$107)+(30/(1000/Table5[[#This Row],[Watts Idle]]/24)*(100%-$D$107)))*$D$106*12</f>
        <v>1.4040000000000004</v>
      </c>
      <c r="T26" s="11">
        <f>Table5[[#This Row],[Energy$year]]/Table5[[#This Row],[SizTB]]</f>
        <v>0.28080000000000005</v>
      </c>
    </row>
    <row r="27" spans="1:20">
      <c r="A27" s="1">
        <v>42888</v>
      </c>
      <c r="B27" t="s">
        <v>11</v>
      </c>
      <c r="C27" t="s">
        <v>19</v>
      </c>
      <c r="D27" s="56"/>
      <c r="E27">
        <v>7200</v>
      </c>
      <c r="F27" s="7">
        <v>2</v>
      </c>
      <c r="G27" s="2">
        <f>(Table5[[#This Row],[RPM]]/5400-1)</f>
        <v>0.33333333333333326</v>
      </c>
      <c r="H27">
        <v>5</v>
      </c>
      <c r="I27" s="29">
        <f t="shared" ref="I27:I32" si="1">12*1.94</f>
        <v>23.28</v>
      </c>
      <c r="J27" s="8">
        <v>8.3699999999999992</v>
      </c>
      <c r="K27" s="8">
        <v>4.42</v>
      </c>
      <c r="L27" s="8">
        <v>0.8</v>
      </c>
      <c r="M27" s="19">
        <v>79.989999999999995</v>
      </c>
      <c r="N27" s="16">
        <f>Table5[[#This Row],[Cost]]/Table5[[#This Row],[SizTB]]</f>
        <v>39.994999999999997</v>
      </c>
      <c r="O27" s="17">
        <f>Table5[[#This Row],[Cost]]+(($E$108-Table5[[#This Row],[Warnty]])*($E$109*Table5[[#This Row],[Cost]]))</f>
        <v>79.989999999999995</v>
      </c>
      <c r="P27" s="9">
        <f>Table5[[#This Row],[$+Warr]]/Table5[[#This Row],[SizTB]]</f>
        <v>39.994999999999997</v>
      </c>
      <c r="Q27" s="16">
        <f>Table5[[#This Row],[$PerTB]]/$D$108</f>
        <v>7.9989999999999997</v>
      </c>
      <c r="R27" s="10"/>
      <c r="S27" s="11">
        <f>((30/(1000/Table5[[#This Row],[Watts Active]]/24)*$D$107)+(30/(1000/Table5[[#This Row],[Watts Idle]]/24)*(100%-$D$107)))*$D$106*12</f>
        <v>5.6268000000000002</v>
      </c>
      <c r="T27" s="11">
        <f>Table5[[#This Row],[Energy$year]]/Table5[[#This Row],[SizTB]]</f>
        <v>2.8134000000000001</v>
      </c>
    </row>
    <row r="28" spans="1:20">
      <c r="A28" s="1">
        <v>42861</v>
      </c>
      <c r="B28" t="s">
        <v>11</v>
      </c>
      <c r="C28" t="s">
        <v>19</v>
      </c>
      <c r="D28" s="56"/>
      <c r="E28">
        <v>7200</v>
      </c>
      <c r="F28" s="7">
        <v>4</v>
      </c>
      <c r="G28" s="2">
        <f>(Table5[[#This Row],[RPM]]/5400-1)</f>
        <v>0.33333333333333326</v>
      </c>
      <c r="H28">
        <v>5</v>
      </c>
      <c r="I28" s="29">
        <f t="shared" si="1"/>
        <v>23.28</v>
      </c>
      <c r="J28" s="8">
        <v>8.3699999999999992</v>
      </c>
      <c r="K28" s="8">
        <v>4.42</v>
      </c>
      <c r="L28" s="8">
        <v>0.8</v>
      </c>
      <c r="M28" s="19">
        <v>184.99</v>
      </c>
      <c r="N28" s="16">
        <f>Table5[[#This Row],[Cost]]/Table5[[#This Row],[SizTB]]</f>
        <v>46.247500000000002</v>
      </c>
      <c r="O28" s="17">
        <f>Table5[[#This Row],[Cost]]+(($E$108-Table5[[#This Row],[Warnty]])*($E$109*Table5[[#This Row],[Cost]]))</f>
        <v>184.99</v>
      </c>
      <c r="P28" s="9">
        <f>Table5[[#This Row],[$+Warr]]/Table5[[#This Row],[SizTB]]</f>
        <v>46.247500000000002</v>
      </c>
      <c r="Q28" s="16">
        <f>Table5[[#This Row],[$PerTB]]/$D$108</f>
        <v>9.2495000000000012</v>
      </c>
      <c r="R28" s="10"/>
      <c r="S28" s="11">
        <f>((30/(1000/Table5[[#This Row],[Watts Active]]/24)*$D$107)+(30/(1000/Table5[[#This Row],[Watts Idle]]/24)*(100%-$D$107)))*$D$106*12</f>
        <v>5.6268000000000002</v>
      </c>
      <c r="T28" s="11">
        <f>Table5[[#This Row],[Energy$year]]/Table5[[#This Row],[SizTB]]</f>
        <v>1.4067000000000001</v>
      </c>
    </row>
    <row r="29" spans="1:20">
      <c r="A29" s="1">
        <v>42861</v>
      </c>
      <c r="B29" t="s">
        <v>11</v>
      </c>
      <c r="C29" t="s">
        <v>19</v>
      </c>
      <c r="D29" s="56"/>
      <c r="E29">
        <v>7200</v>
      </c>
      <c r="F29" s="7">
        <v>5</v>
      </c>
      <c r="G29" s="2">
        <f>(Table5[[#This Row],[RPM]]/5400-1)</f>
        <v>0.33333333333333326</v>
      </c>
      <c r="H29">
        <v>5</v>
      </c>
      <c r="I29" s="29">
        <f t="shared" si="1"/>
        <v>23.28</v>
      </c>
      <c r="J29" s="8">
        <v>8.3699999999999992</v>
      </c>
      <c r="K29" s="8">
        <v>4.42</v>
      </c>
      <c r="L29" s="8">
        <v>0.8</v>
      </c>
      <c r="M29" s="19">
        <v>214.99</v>
      </c>
      <c r="N29" s="16">
        <f>Table5[[#This Row],[Cost]]/Table5[[#This Row],[SizTB]]</f>
        <v>42.998000000000005</v>
      </c>
      <c r="O29" s="17">
        <f>Table5[[#This Row],[Cost]]+(($E$108-Table5[[#This Row],[Warnty]])*($E$109*Table5[[#This Row],[Cost]]))</f>
        <v>214.99</v>
      </c>
      <c r="P29" s="9">
        <f>Table5[[#This Row],[$+Warr]]/Table5[[#This Row],[SizTB]]</f>
        <v>42.998000000000005</v>
      </c>
      <c r="Q29" s="16">
        <f>Table5[[#This Row],[$PerTB]]/$D$108</f>
        <v>8.5996000000000006</v>
      </c>
      <c r="R29" s="10"/>
      <c r="S29" s="11">
        <f>((30/(1000/Table5[[#This Row],[Watts Active]]/24)*$D$107)+(30/(1000/Table5[[#This Row],[Watts Idle]]/24)*(100%-$D$107)))*$D$106*12</f>
        <v>5.6268000000000002</v>
      </c>
      <c r="T29" s="11">
        <f>Table5[[#This Row],[Energy$year]]/Table5[[#This Row],[SizTB]]</f>
        <v>1.1253600000000001</v>
      </c>
    </row>
    <row r="30" spans="1:20">
      <c r="A30" s="1">
        <v>42861</v>
      </c>
      <c r="B30" t="s">
        <v>11</v>
      </c>
      <c r="C30" t="s">
        <v>19</v>
      </c>
      <c r="D30" s="56"/>
      <c r="E30">
        <v>7200</v>
      </c>
      <c r="F30" s="7">
        <v>6</v>
      </c>
      <c r="G30" s="2">
        <f>(Table5[[#This Row],[RPM]]/5400-1)</f>
        <v>0.33333333333333326</v>
      </c>
      <c r="H30">
        <v>5</v>
      </c>
      <c r="I30" s="29">
        <f t="shared" si="1"/>
        <v>23.28</v>
      </c>
      <c r="J30" s="8">
        <v>8.3699999999999992</v>
      </c>
      <c r="K30" s="8">
        <v>4.42</v>
      </c>
      <c r="L30" s="8">
        <v>0.8</v>
      </c>
      <c r="M30" s="19">
        <v>258.99</v>
      </c>
      <c r="N30" s="16">
        <f>Table5[[#This Row],[Cost]]/Table5[[#This Row],[SizTB]]</f>
        <v>43.164999999999999</v>
      </c>
      <c r="O30" s="17">
        <f>Table5[[#This Row],[Cost]]+(($E$108-Table5[[#This Row],[Warnty]])*($E$109*Table5[[#This Row],[Cost]]))</f>
        <v>258.99</v>
      </c>
      <c r="P30" s="9">
        <f>Table5[[#This Row],[$+Warr]]/Table5[[#This Row],[SizTB]]</f>
        <v>43.164999999999999</v>
      </c>
      <c r="Q30" s="16">
        <f>Table5[[#This Row],[$PerTB]]/$D$108</f>
        <v>8.6329999999999991</v>
      </c>
      <c r="R30" s="10"/>
      <c r="S30" s="11">
        <f>((30/(1000/Table5[[#This Row],[Watts Active]]/24)*$D$107)+(30/(1000/Table5[[#This Row],[Watts Idle]]/24)*(100%-$D$107)))*$D$106*12</f>
        <v>5.6268000000000002</v>
      </c>
      <c r="T30" s="11">
        <f>Table5[[#This Row],[Energy$year]]/Table5[[#This Row],[SizTB]]</f>
        <v>0.93780000000000008</v>
      </c>
    </row>
    <row r="31" spans="1:20">
      <c r="A31" s="1">
        <v>42861</v>
      </c>
      <c r="B31" t="s">
        <v>11</v>
      </c>
      <c r="C31" t="s">
        <v>19</v>
      </c>
      <c r="D31" s="56"/>
      <c r="E31">
        <v>7200</v>
      </c>
      <c r="F31" s="7">
        <v>8</v>
      </c>
      <c r="G31" s="2">
        <f>(Table5[[#This Row],[RPM]]/5400-1)</f>
        <v>0.33333333333333326</v>
      </c>
      <c r="H31">
        <v>5</v>
      </c>
      <c r="I31" s="29">
        <f t="shared" si="1"/>
        <v>23.28</v>
      </c>
      <c r="J31" s="8">
        <v>8.3699999999999992</v>
      </c>
      <c r="K31" s="8">
        <v>4.42</v>
      </c>
      <c r="L31" s="8">
        <v>0.8</v>
      </c>
      <c r="M31" s="19">
        <v>334.99</v>
      </c>
      <c r="N31" s="16">
        <f>Table5[[#This Row],[Cost]]/Table5[[#This Row],[SizTB]]</f>
        <v>41.873750000000001</v>
      </c>
      <c r="O31" s="17">
        <f>Table5[[#This Row],[Cost]]+(($E$108-Table5[[#This Row],[Warnty]])*($E$109*Table5[[#This Row],[Cost]]))</f>
        <v>334.99</v>
      </c>
      <c r="P31" s="9">
        <f>Table5[[#This Row],[$+Warr]]/Table5[[#This Row],[SizTB]]</f>
        <v>41.873750000000001</v>
      </c>
      <c r="Q31" s="16">
        <f>Table5[[#This Row],[$PerTB]]/$D$108</f>
        <v>8.3747500000000006</v>
      </c>
      <c r="R31" s="10"/>
      <c r="S31" s="11">
        <f>((30/(1000/Table5[[#This Row],[Watts Active]]/24)*$D$107)+(30/(1000/Table5[[#This Row],[Watts Idle]]/24)*(100%-$D$107)))*$D$106*12</f>
        <v>5.6268000000000002</v>
      </c>
      <c r="T31" s="11">
        <f>Table5[[#This Row],[Energy$year]]/Table5[[#This Row],[SizTB]]</f>
        <v>0.70335000000000003</v>
      </c>
    </row>
    <row r="32" spans="1:20">
      <c r="A32" s="1">
        <v>42861</v>
      </c>
      <c r="B32" t="s">
        <v>11</v>
      </c>
      <c r="C32" t="s">
        <v>19</v>
      </c>
      <c r="D32" s="56"/>
      <c r="E32">
        <v>7200</v>
      </c>
      <c r="F32" s="7">
        <v>10</v>
      </c>
      <c r="G32" s="2">
        <f>(Table5[[#This Row],[RPM]]/5400-1)</f>
        <v>0.33333333333333326</v>
      </c>
      <c r="H32">
        <v>5</v>
      </c>
      <c r="I32" s="29">
        <f t="shared" si="1"/>
        <v>23.28</v>
      </c>
      <c r="J32" s="8">
        <v>8.3699999999999992</v>
      </c>
      <c r="K32" s="8">
        <v>4.42</v>
      </c>
      <c r="L32" s="8">
        <v>0.8</v>
      </c>
      <c r="M32" s="19">
        <v>434.99</v>
      </c>
      <c r="N32" s="16">
        <f>Table5[[#This Row],[Cost]]/Table5[[#This Row],[SizTB]]</f>
        <v>43.499000000000002</v>
      </c>
      <c r="O32" s="17">
        <f>Table5[[#This Row],[Cost]]+(($E$108-Table5[[#This Row],[Warnty]])*($E$109*Table5[[#This Row],[Cost]]))</f>
        <v>434.99</v>
      </c>
      <c r="P32" s="9">
        <f>Table5[[#This Row],[$+Warr]]/Table5[[#This Row],[SizTB]]</f>
        <v>43.499000000000002</v>
      </c>
      <c r="Q32" s="16">
        <f>Table5[[#This Row],[$PerTB]]/$D$108</f>
        <v>8.6997999999999998</v>
      </c>
      <c r="R32" s="10"/>
      <c r="S32" s="11">
        <f>((30/(1000/Table5[[#This Row],[Watts Active]]/24)*$D$107)+(30/(1000/Table5[[#This Row],[Watts Idle]]/24)*(100%-$D$107)))*$D$106*12</f>
        <v>5.6268000000000002</v>
      </c>
      <c r="T32" s="11">
        <f>Table5[[#This Row],[Energy$year]]/Table5[[#This Row],[SizTB]]</f>
        <v>0.56268000000000007</v>
      </c>
    </row>
    <row r="33" spans="1:21">
      <c r="A33" s="1">
        <v>42895</v>
      </c>
      <c r="B33" t="s">
        <v>11</v>
      </c>
      <c r="C33" t="s">
        <v>63</v>
      </c>
      <c r="D33" s="56" t="s">
        <v>69</v>
      </c>
      <c r="E33">
        <v>7200</v>
      </c>
      <c r="F33" s="7">
        <v>1</v>
      </c>
      <c r="G33" s="2">
        <f>(Table5[[#This Row],[RPM]]/5400-1)</f>
        <v>0.33333333333333326</v>
      </c>
      <c r="H33">
        <v>5</v>
      </c>
      <c r="I33" s="29">
        <f>2.6*12</f>
        <v>31.200000000000003</v>
      </c>
      <c r="J33" s="8">
        <v>8.08</v>
      </c>
      <c r="K33" s="8">
        <v>4.45</v>
      </c>
      <c r="L33" s="8">
        <f>0.15*5+0.01*12</f>
        <v>0.87</v>
      </c>
      <c r="M33" s="19">
        <v>95</v>
      </c>
      <c r="N33" s="16">
        <f>Table5[[#This Row],[Cost]]/Table5[[#This Row],[SizTB]]</f>
        <v>95</v>
      </c>
      <c r="O33" s="17">
        <f>Table5[[#This Row],[Cost]]+(($E$108-Table5[[#This Row],[Warnty]])*($E$109*Table5[[#This Row],[Cost]]))</f>
        <v>95</v>
      </c>
      <c r="P33" s="9">
        <f>Table5[[#This Row],[$+Warr]]/Table5[[#This Row],[SizTB]]</f>
        <v>95</v>
      </c>
      <c r="Q33" s="16">
        <f>Table5[[#This Row],[$PerTB]]/$D$108</f>
        <v>19</v>
      </c>
      <c r="R33" s="30"/>
      <c r="S33" s="11">
        <f>((30/(1000/Table5[[#This Row],[Watts Active]]/24)*$D$107)+(30/(1000/Table5[[#This Row],[Watts Idle]]/24)*(100%-$D$107)))*$D$106*12</f>
        <v>5.5900800000000004</v>
      </c>
      <c r="T33" s="11">
        <f>Table5[[#This Row],[Energy$year]]/Table5[[#This Row],[SizTB]]</f>
        <v>5.5900800000000004</v>
      </c>
    </row>
    <row r="34" spans="1:21">
      <c r="A34" s="1">
        <v>42895</v>
      </c>
      <c r="B34" t="s">
        <v>11</v>
      </c>
      <c r="C34" t="s">
        <v>63</v>
      </c>
      <c r="D34" s="56" t="s">
        <v>69</v>
      </c>
      <c r="E34">
        <v>7200</v>
      </c>
      <c r="F34" s="7">
        <v>2</v>
      </c>
      <c r="G34" s="2">
        <f>(Table5[[#This Row],[RPM]]/5400-1)</f>
        <v>0.33333333333333326</v>
      </c>
      <c r="H34">
        <v>5</v>
      </c>
      <c r="I34" s="29">
        <f t="shared" ref="I34:I36" si="2">2.6*12</f>
        <v>31.200000000000003</v>
      </c>
      <c r="J34" s="8">
        <v>9.42</v>
      </c>
      <c r="K34" s="8">
        <v>5.17</v>
      </c>
      <c r="L34" s="8">
        <f>0.15*5+0.01*12</f>
        <v>0.87</v>
      </c>
      <c r="M34" s="19">
        <v>124</v>
      </c>
      <c r="N34" s="16">
        <f>Table5[[#This Row],[Cost]]/Table5[[#This Row],[SizTB]]</f>
        <v>62</v>
      </c>
      <c r="O34" s="17">
        <f>Table5[[#This Row],[Cost]]+(($E$108-Table5[[#This Row],[Warnty]])*($E$109*Table5[[#This Row],[Cost]]))</f>
        <v>124</v>
      </c>
      <c r="P34" s="9">
        <f>Table5[[#This Row],[$+Warr]]/Table5[[#This Row],[SizTB]]</f>
        <v>62</v>
      </c>
      <c r="Q34" s="16">
        <f>Table5[[#This Row],[$PerTB]]/$D$108</f>
        <v>12.4</v>
      </c>
      <c r="R34" s="30"/>
      <c r="S34" s="11">
        <f>((30/(1000/Table5[[#This Row],[Watts Active]]/24)*$D$107)+(30/(1000/Table5[[#This Row],[Watts Idle]]/24)*(100%-$D$107)))*$D$106*12</f>
        <v>6.5016000000000007</v>
      </c>
      <c r="T34" s="11">
        <f>Table5[[#This Row],[Energy$year]]/Table5[[#This Row],[SizTB]]</f>
        <v>3.2508000000000004</v>
      </c>
    </row>
    <row r="35" spans="1:21">
      <c r="A35" s="1">
        <v>42895</v>
      </c>
      <c r="B35" t="s">
        <v>11</v>
      </c>
      <c r="C35" t="s">
        <v>63</v>
      </c>
      <c r="D35" s="56" t="s">
        <v>69</v>
      </c>
      <c r="E35">
        <v>7200</v>
      </c>
      <c r="F35" s="7">
        <v>3</v>
      </c>
      <c r="G35" s="2">
        <f>(Table5[[#This Row],[RPM]]/5400-1)</f>
        <v>0.33333333333333326</v>
      </c>
      <c r="H35">
        <v>5</v>
      </c>
      <c r="I35" s="29">
        <f t="shared" si="2"/>
        <v>31.200000000000003</v>
      </c>
      <c r="J35" s="8">
        <v>11.27</v>
      </c>
      <c r="K35" s="29">
        <v>6.73</v>
      </c>
      <c r="L35" s="8">
        <f>0.15*5+0.01*12</f>
        <v>0.87</v>
      </c>
      <c r="M35" s="19">
        <v>149.99</v>
      </c>
      <c r="N35" s="16">
        <f>Table5[[#This Row],[Cost]]/Table5[[#This Row],[SizTB]]</f>
        <v>49.99666666666667</v>
      </c>
      <c r="O35" s="17">
        <f>Table5[[#This Row],[Cost]]+(($E$108-Table5[[#This Row],[Warnty]])*($E$109*Table5[[#This Row],[Cost]]))</f>
        <v>149.99</v>
      </c>
      <c r="P35" s="9">
        <f>Table5[[#This Row],[$+Warr]]/Table5[[#This Row],[SizTB]]</f>
        <v>49.99666666666667</v>
      </c>
      <c r="Q35" s="16">
        <f>Table5[[#This Row],[$PerTB]]/$D$108</f>
        <v>9.9993333333333343</v>
      </c>
      <c r="R35" s="30"/>
      <c r="S35" s="11">
        <f>((30/(1000/Table5[[#This Row],[Watts Active]]/24)*$D$107)+(30/(1000/Table5[[#This Row],[Watts Idle]]/24)*(100%-$D$107)))*$D$106*12</f>
        <v>8.2490400000000008</v>
      </c>
      <c r="T35" s="11">
        <f>Table5[[#This Row],[Energy$year]]/Table5[[#This Row],[SizTB]]</f>
        <v>2.7496800000000001</v>
      </c>
    </row>
    <row r="36" spans="1:21">
      <c r="A36" s="1">
        <v>42895</v>
      </c>
      <c r="B36" t="s">
        <v>11</v>
      </c>
      <c r="C36" t="s">
        <v>63</v>
      </c>
      <c r="D36" s="56" t="s">
        <v>69</v>
      </c>
      <c r="E36">
        <v>7200</v>
      </c>
      <c r="F36" s="7">
        <v>4</v>
      </c>
      <c r="G36" s="2">
        <f>(Table5[[#This Row],[RPM]]/5400-1)</f>
        <v>0.33333333333333326</v>
      </c>
      <c r="H36">
        <v>5</v>
      </c>
      <c r="I36" s="29">
        <f t="shared" si="2"/>
        <v>31.200000000000003</v>
      </c>
      <c r="J36" s="8">
        <v>11.27</v>
      </c>
      <c r="K36" s="8">
        <v>6.73</v>
      </c>
      <c r="L36" s="8">
        <f>0.15*5+0.01*12</f>
        <v>0.87</v>
      </c>
      <c r="M36" s="19">
        <v>159.99</v>
      </c>
      <c r="N36" s="16">
        <f>Table5[[#This Row],[Cost]]/Table5[[#This Row],[SizTB]]</f>
        <v>39.997500000000002</v>
      </c>
      <c r="O36" s="17">
        <f>Table5[[#This Row],[Cost]]+(($E$108-Table5[[#This Row],[Warnty]])*($E$109*Table5[[#This Row],[Cost]]))</f>
        <v>159.99</v>
      </c>
      <c r="P36" s="9">
        <f>Table5[[#This Row],[$+Warr]]/Table5[[#This Row],[SizTB]]</f>
        <v>39.997500000000002</v>
      </c>
      <c r="Q36" s="16">
        <f>Table5[[#This Row],[$PerTB]]/$D$108</f>
        <v>7.9995000000000003</v>
      </c>
      <c r="R36" s="30"/>
      <c r="S36" s="11">
        <f>((30/(1000/Table5[[#This Row],[Watts Active]]/24)*$D$107)+(30/(1000/Table5[[#This Row],[Watts Idle]]/24)*(100%-$D$107)))*$D$106*12</f>
        <v>8.2490400000000008</v>
      </c>
      <c r="T36" s="11">
        <f>Table5[[#This Row],[Energy$year]]/Table5[[#This Row],[SizTB]]</f>
        <v>2.0622600000000002</v>
      </c>
    </row>
    <row r="37" spans="1:21">
      <c r="A37" s="1">
        <v>42842</v>
      </c>
      <c r="B37" t="s">
        <v>11</v>
      </c>
      <c r="C37" t="s">
        <v>21</v>
      </c>
      <c r="D37" s="56" t="s">
        <v>69</v>
      </c>
      <c r="E37">
        <v>7200</v>
      </c>
      <c r="F37" s="7">
        <v>1</v>
      </c>
      <c r="G37" s="2">
        <f>(Table5[[#This Row],[RPM]]/5400-1)</f>
        <v>0.33333333333333326</v>
      </c>
      <c r="H37">
        <v>5</v>
      </c>
      <c r="I37" s="29"/>
      <c r="J37" s="8"/>
      <c r="K37" s="8"/>
      <c r="L37" s="8"/>
      <c r="M37" s="19">
        <v>99.99</v>
      </c>
      <c r="N37" s="16">
        <f>Table5[[#This Row],[Cost]]/Table5[[#This Row],[SizTB]]</f>
        <v>99.99</v>
      </c>
      <c r="O37" s="17">
        <f>Table5[[#This Row],[Cost]]+(($E$108-Table5[[#This Row],[Warnty]])*($E$109*Table5[[#This Row],[Cost]]))</f>
        <v>99.99</v>
      </c>
      <c r="P37" s="9">
        <f>Table5[[#This Row],[$+Warr]]/Table5[[#This Row],[SizTB]]</f>
        <v>99.99</v>
      </c>
      <c r="Q37" s="16">
        <f>Table5[[#This Row],[$PerTB]]/$D$108</f>
        <v>19.997999999999998</v>
      </c>
      <c r="R37" s="10"/>
      <c r="S37" s="11"/>
      <c r="T37" s="11"/>
    </row>
    <row r="38" spans="1:21">
      <c r="A38" s="1">
        <v>42842</v>
      </c>
      <c r="B38" t="s">
        <v>11</v>
      </c>
      <c r="C38" t="s">
        <v>21</v>
      </c>
      <c r="D38" s="56" t="s">
        <v>69</v>
      </c>
      <c r="E38">
        <v>7200</v>
      </c>
      <c r="F38" s="7">
        <v>2</v>
      </c>
      <c r="G38" s="2">
        <f>(Table5[[#This Row],[RPM]]/5400-1)</f>
        <v>0.33333333333333326</v>
      </c>
      <c r="H38">
        <v>5</v>
      </c>
      <c r="I38" s="29">
        <f t="shared" ref="I38:I41" si="3">12*1.8</f>
        <v>21.6</v>
      </c>
      <c r="J38" s="8">
        <v>6.4</v>
      </c>
      <c r="K38" s="8">
        <v>4.5</v>
      </c>
      <c r="L38" s="8">
        <v>0.6</v>
      </c>
      <c r="M38" s="19">
        <v>139.99</v>
      </c>
      <c r="N38" s="16">
        <f>Table5[[#This Row],[Cost]]/Table5[[#This Row],[SizTB]]</f>
        <v>69.995000000000005</v>
      </c>
      <c r="O38" s="17">
        <f>Table5[[#This Row],[Cost]]+(($E$108-Table5[[#This Row],[Warnty]])*($E$109*Table5[[#This Row],[Cost]]))</f>
        <v>139.99</v>
      </c>
      <c r="P38" s="9">
        <f>Table5[[#This Row],[$+Warr]]/Table5[[#This Row],[SizTB]]</f>
        <v>69.995000000000005</v>
      </c>
      <c r="Q38" s="16">
        <f>Table5[[#This Row],[$PerTB]]/$D$108</f>
        <v>13.999000000000001</v>
      </c>
      <c r="R38" s="10"/>
      <c r="S38" s="11">
        <f>((30/(1000/Table5[[#This Row],[Watts Active]]/24)*$D$107)+(30/(1000/Table5[[#This Row],[Watts Idle]]/24)*(100%-$D$107)))*$D$106*12</f>
        <v>5.2704000000000004</v>
      </c>
      <c r="T38" s="11">
        <f>Table5[[#This Row],[Energy$year]]/Table5[[#This Row],[SizTB]]</f>
        <v>2.6352000000000002</v>
      </c>
    </row>
    <row r="39" spans="1:21">
      <c r="A39" s="1">
        <v>42842</v>
      </c>
      <c r="B39" t="s">
        <v>11</v>
      </c>
      <c r="C39" t="s">
        <v>21</v>
      </c>
      <c r="D39" s="56" t="s">
        <v>69</v>
      </c>
      <c r="E39">
        <v>7200</v>
      </c>
      <c r="F39" s="7">
        <v>3</v>
      </c>
      <c r="G39" s="2">
        <f>(Table5[[#This Row],[RPM]]/5400-1)</f>
        <v>0.33333333333333326</v>
      </c>
      <c r="H39">
        <v>5</v>
      </c>
      <c r="I39" s="29">
        <f t="shared" si="3"/>
        <v>21.6</v>
      </c>
      <c r="J39" s="8">
        <v>6.7</v>
      </c>
      <c r="K39" s="8">
        <v>6</v>
      </c>
      <c r="L39" s="8">
        <v>0.6</v>
      </c>
      <c r="M39" s="19">
        <v>176.92</v>
      </c>
      <c r="N39" s="16">
        <f>Table5[[#This Row],[Cost]]/Table5[[#This Row],[SizTB]]</f>
        <v>58.973333333333329</v>
      </c>
      <c r="O39" s="17">
        <f>Table5[[#This Row],[Cost]]+(($E$108-Table5[[#This Row],[Warnty]])*($E$109*Table5[[#This Row],[Cost]]))</f>
        <v>176.92</v>
      </c>
      <c r="P39" s="9">
        <f>Table5[[#This Row],[$+Warr]]/Table5[[#This Row],[SizTB]]</f>
        <v>58.973333333333329</v>
      </c>
      <c r="Q39" s="16">
        <f>Table5[[#This Row],[$PerTB]]/$D$108</f>
        <v>11.794666666666666</v>
      </c>
      <c r="R39" s="10"/>
      <c r="S39" s="11">
        <f>((30/(1000/Table5[[#This Row],[Watts Active]]/24)*$D$107)+(30/(1000/Table5[[#This Row],[Watts Idle]]/24)*(100%-$D$107)))*$D$106*12</f>
        <v>6.6312000000000015</v>
      </c>
      <c r="T39" s="11">
        <f>Table5[[#This Row],[Energy$year]]/Table5[[#This Row],[SizTB]]</f>
        <v>2.2104000000000004</v>
      </c>
    </row>
    <row r="40" spans="1:21">
      <c r="A40" s="1">
        <v>42843</v>
      </c>
      <c r="B40" t="s">
        <v>11</v>
      </c>
      <c r="C40" t="s">
        <v>21</v>
      </c>
      <c r="D40" s="56" t="s">
        <v>69</v>
      </c>
      <c r="E40">
        <v>7200</v>
      </c>
      <c r="F40" s="7">
        <v>4</v>
      </c>
      <c r="G40" s="2">
        <f>(Table5[[#This Row],[RPM]]/5400-1)</f>
        <v>0.33333333333333326</v>
      </c>
      <c r="H40">
        <v>5</v>
      </c>
      <c r="I40" s="29">
        <f t="shared" si="3"/>
        <v>21.6</v>
      </c>
      <c r="J40" s="8">
        <v>6.7</v>
      </c>
      <c r="K40" s="8">
        <v>6</v>
      </c>
      <c r="L40" s="8">
        <v>0.6</v>
      </c>
      <c r="M40" s="19">
        <v>179.99</v>
      </c>
      <c r="N40" s="16">
        <f>Table5[[#This Row],[Cost]]/Table5[[#This Row],[SizTB]]</f>
        <v>44.997500000000002</v>
      </c>
      <c r="O40" s="17">
        <f>Table5[[#This Row],[Cost]]+(($E$108-Table5[[#This Row],[Warnty]])*($E$109*Table5[[#This Row],[Cost]]))</f>
        <v>179.99</v>
      </c>
      <c r="P40" s="9">
        <f>Table5[[#This Row],[$+Warr]]/Table5[[#This Row],[SizTB]]</f>
        <v>44.997500000000002</v>
      </c>
      <c r="Q40" s="16">
        <f>Table5[[#This Row],[$PerTB]]/$D$108</f>
        <v>8.9995000000000012</v>
      </c>
      <c r="R40" s="10"/>
      <c r="S40" s="11">
        <f>((30/(1000/Table5[[#This Row],[Watts Active]]/24)*$D$107)+(30/(1000/Table5[[#This Row],[Watts Idle]]/24)*(100%-$D$107)))*$D$106*12</f>
        <v>6.6312000000000015</v>
      </c>
      <c r="T40" s="11">
        <f>Table5[[#This Row],[Energy$year]]/Table5[[#This Row],[SizTB]]</f>
        <v>1.6578000000000004</v>
      </c>
    </row>
    <row r="41" spans="1:21">
      <c r="A41" s="1">
        <v>42843</v>
      </c>
      <c r="B41" t="s">
        <v>11</v>
      </c>
      <c r="C41" t="s">
        <v>21</v>
      </c>
      <c r="D41" s="56" t="s">
        <v>69</v>
      </c>
      <c r="E41">
        <v>7200</v>
      </c>
      <c r="F41" s="7">
        <v>6</v>
      </c>
      <c r="G41" s="2">
        <f>(Table5[[#This Row],[RPM]]/5400-1)</f>
        <v>0.33333333333333326</v>
      </c>
      <c r="H41">
        <v>5</v>
      </c>
      <c r="I41" s="29">
        <f t="shared" si="3"/>
        <v>21.6</v>
      </c>
      <c r="J41" s="8">
        <v>9</v>
      </c>
      <c r="K41" s="8">
        <v>6.9</v>
      </c>
      <c r="L41" s="8">
        <v>0.6</v>
      </c>
      <c r="M41" s="19">
        <v>239.8</v>
      </c>
      <c r="N41" s="16">
        <f>Table5[[#This Row],[Cost]]/Table5[[#This Row],[SizTB]]</f>
        <v>39.966666666666669</v>
      </c>
      <c r="O41" s="17">
        <f>Table5[[#This Row],[Cost]]+(($E$108-Table5[[#This Row],[Warnty]])*($E$109*Table5[[#This Row],[Cost]]))</f>
        <v>239.8</v>
      </c>
      <c r="P41" s="9">
        <f>Table5[[#This Row],[$+Warr]]/Table5[[#This Row],[SizTB]]</f>
        <v>39.966666666666669</v>
      </c>
      <c r="Q41" s="16">
        <f>Table5[[#This Row],[$PerTB]]/$D$108</f>
        <v>7.9933333333333341</v>
      </c>
      <c r="R41" s="10"/>
      <c r="S41" s="11">
        <f>((30/(1000/Table5[[#This Row],[Watts Active]]/24)*$D$107)+(30/(1000/Table5[[#This Row],[Watts Idle]]/24)*(100%-$D$107)))*$D$106*12</f>
        <v>7.9056000000000006</v>
      </c>
      <c r="T41" s="11">
        <f>Table5[[#This Row],[Energy$year]]/Table5[[#This Row],[SizTB]]</f>
        <v>1.3176000000000001</v>
      </c>
    </row>
    <row r="42" spans="1:21">
      <c r="A42" s="1">
        <v>42842</v>
      </c>
      <c r="B42" t="s">
        <v>11</v>
      </c>
      <c r="C42" t="s">
        <v>21</v>
      </c>
      <c r="D42" s="56" t="s">
        <v>69</v>
      </c>
      <c r="E42">
        <v>7200</v>
      </c>
      <c r="F42" s="7">
        <v>8</v>
      </c>
      <c r="G42" s="2">
        <f>(Table5[[#This Row],[RPM]]/5400-1)</f>
        <v>0.33333333333333326</v>
      </c>
      <c r="H42">
        <v>5</v>
      </c>
      <c r="I42" s="29">
        <f>12*1.8</f>
        <v>21.6</v>
      </c>
      <c r="J42" s="8">
        <v>9</v>
      </c>
      <c r="K42" s="21" t="s">
        <v>38</v>
      </c>
      <c r="L42" s="8">
        <v>0.6</v>
      </c>
      <c r="M42" s="19">
        <v>369.99</v>
      </c>
      <c r="N42" s="16">
        <f>Table5[[#This Row],[Cost]]/Table5[[#This Row],[SizTB]]</f>
        <v>46.248750000000001</v>
      </c>
      <c r="O42" s="17">
        <f>Table5[[#This Row],[Cost]]+(($E$108-Table5[[#This Row],[Warnty]])*($E$109*Table5[[#This Row],[Cost]]))</f>
        <v>369.99</v>
      </c>
      <c r="P42" s="9">
        <f>Table5[[#This Row],[$+Warr]]/Table5[[#This Row],[SizTB]]</f>
        <v>46.248750000000001</v>
      </c>
      <c r="Q42" s="16">
        <f>Table5[[#This Row],[$PerTB]]/$D$108</f>
        <v>9.2497500000000006</v>
      </c>
      <c r="R42" s="10"/>
      <c r="S42" s="11"/>
      <c r="T42" s="11"/>
    </row>
    <row r="43" spans="1:21">
      <c r="A43" s="1">
        <v>42830</v>
      </c>
      <c r="B43" t="s">
        <v>11</v>
      </c>
      <c r="C43" t="s">
        <v>40</v>
      </c>
      <c r="D43" s="56" t="s">
        <v>69</v>
      </c>
      <c r="E43">
        <v>7200</v>
      </c>
      <c r="F43" s="7">
        <v>1</v>
      </c>
      <c r="G43" s="2">
        <f>(Table5[[#This Row],[RPM]]/5400-1)</f>
        <v>0.33333333333333326</v>
      </c>
      <c r="H43">
        <v>5</v>
      </c>
      <c r="I43" s="29"/>
      <c r="J43" s="8">
        <v>4.74</v>
      </c>
      <c r="K43" s="22">
        <v>3.51</v>
      </c>
      <c r="L43" s="8">
        <v>1.1399999999999999</v>
      </c>
      <c r="M43" s="19">
        <v>188.8</v>
      </c>
      <c r="N43" s="16">
        <f>Table5[[#This Row],[Cost]]/Table5[[#This Row],[SizTB]]</f>
        <v>188.8</v>
      </c>
      <c r="O43" s="17">
        <f>Table5[[#This Row],[Cost]]+(($E$108-Table5[[#This Row],[Warnty]])*($E$109*Table5[[#This Row],[Cost]]))</f>
        <v>188.8</v>
      </c>
      <c r="P43" s="9">
        <f>Table5[[#This Row],[$+Warr]]/Table5[[#This Row],[SizTB]]</f>
        <v>188.8</v>
      </c>
      <c r="Q43" s="16">
        <f>Table5[[#This Row],[$PerTB]]/$D$108</f>
        <v>37.760000000000005</v>
      </c>
      <c r="R43" s="10"/>
      <c r="S43" s="11">
        <f>((30/(1000/Table5[[#This Row],[Watts Active]]/24)*$D$107)+(30/(1000/Table5[[#This Row],[Watts Idle]]/24)*(100%-$D$107)))*$D$106*12</f>
        <v>4.0564800000000005</v>
      </c>
      <c r="T43" s="11">
        <f>Table5[[#This Row],[Energy$year]]/Table5[[#This Row],[SizTB]]</f>
        <v>4.0564800000000005</v>
      </c>
    </row>
    <row r="44" spans="1:21">
      <c r="A44" s="1">
        <v>42830</v>
      </c>
      <c r="B44" t="s">
        <v>11</v>
      </c>
      <c r="C44" t="s">
        <v>40</v>
      </c>
      <c r="D44" s="56" t="s">
        <v>69</v>
      </c>
      <c r="E44">
        <v>7200</v>
      </c>
      <c r="F44" s="7">
        <v>2</v>
      </c>
      <c r="G44" s="2">
        <f>(Table5[[#This Row],[RPM]]/5400-1)</f>
        <v>0.33333333333333326</v>
      </c>
      <c r="H44">
        <v>5</v>
      </c>
      <c r="I44" s="29"/>
      <c r="J44" s="8">
        <v>5.22</v>
      </c>
      <c r="K44" s="22">
        <v>3.87</v>
      </c>
      <c r="L44" s="8">
        <v>1.1399999999999999</v>
      </c>
      <c r="M44" s="19">
        <v>319.99</v>
      </c>
      <c r="N44" s="16">
        <f>Table5[[#This Row],[Cost]]/Table5[[#This Row],[SizTB]]</f>
        <v>159.995</v>
      </c>
      <c r="O44" s="17">
        <f>Table5[[#This Row],[Cost]]+(($E$108-Table5[[#This Row],[Warnty]])*($E$109*Table5[[#This Row],[Cost]]))</f>
        <v>319.99</v>
      </c>
      <c r="P44" s="9">
        <f>Table5[[#This Row],[$+Warr]]/Table5[[#This Row],[SizTB]]</f>
        <v>159.995</v>
      </c>
      <c r="Q44" s="16">
        <f>Table5[[#This Row],[$PerTB]]/$D$108</f>
        <v>31.999000000000002</v>
      </c>
      <c r="R44" s="10"/>
      <c r="S44" s="11">
        <f>((30/(1000/Table5[[#This Row],[Watts Active]]/24)*$D$107)+(30/(1000/Table5[[#This Row],[Watts Idle]]/24)*(100%-$D$107)))*$D$106*12</f>
        <v>4.4711999999999996</v>
      </c>
      <c r="T44" s="11">
        <f>Table5[[#This Row],[Energy$year]]/Table5[[#This Row],[SizTB]]</f>
        <v>2.2355999999999998</v>
      </c>
    </row>
    <row r="45" spans="1:21">
      <c r="A45" s="1">
        <v>42830</v>
      </c>
      <c r="B45" t="s">
        <v>11</v>
      </c>
      <c r="C45" t="s">
        <v>41</v>
      </c>
      <c r="D45" s="56" t="s">
        <v>69</v>
      </c>
      <c r="E45">
        <v>7200</v>
      </c>
      <c r="F45" s="7">
        <v>10</v>
      </c>
      <c r="G45" s="2">
        <f>(Table5[[#This Row],[RPM]]/5400-1)</f>
        <v>0.33333333333333326</v>
      </c>
      <c r="H45">
        <v>5</v>
      </c>
      <c r="I45" s="29"/>
      <c r="J45" s="8"/>
      <c r="K45" s="21"/>
      <c r="L45" s="8"/>
      <c r="M45" s="19">
        <v>421.99</v>
      </c>
      <c r="N45" s="16">
        <f>Table5[[#This Row],[Cost]]/Table5[[#This Row],[SizTB]]</f>
        <v>42.198999999999998</v>
      </c>
      <c r="O45" s="17">
        <f>Table5[[#This Row],[Cost]]+(($E$108-Table5[[#This Row],[Warnty]])*($E$109*Table5[[#This Row],[Cost]]))</f>
        <v>421.99</v>
      </c>
      <c r="P45" s="9">
        <f>Table5[[#This Row],[$+Warr]]/Table5[[#This Row],[SizTB]]</f>
        <v>42.198999999999998</v>
      </c>
      <c r="Q45" s="16">
        <f>Table5[[#This Row],[$PerTB]]/$D$108</f>
        <v>8.4398</v>
      </c>
      <c r="R45" s="10"/>
      <c r="S45" s="11"/>
      <c r="T45" s="11"/>
      <c r="U45" t="s">
        <v>50</v>
      </c>
    </row>
    <row r="46" spans="1:21">
      <c r="A46" s="1">
        <v>42871</v>
      </c>
      <c r="B46" t="s">
        <v>11</v>
      </c>
      <c r="C46" t="s">
        <v>58</v>
      </c>
      <c r="D46" s="56"/>
      <c r="E46">
        <v>7200</v>
      </c>
      <c r="F46" s="7">
        <v>1</v>
      </c>
      <c r="G46" s="2">
        <f>(Table5[[#This Row],[RPM]]/5400-1)</f>
        <v>0.33333333333333326</v>
      </c>
      <c r="H46">
        <v>5</v>
      </c>
      <c r="I46" s="29">
        <v>24</v>
      </c>
      <c r="J46" s="8">
        <v>5.9</v>
      </c>
      <c r="K46" s="8">
        <v>4.5</v>
      </c>
      <c r="L46" s="8">
        <v>0.63</v>
      </c>
      <c r="M46" s="19">
        <v>78.989999999999995</v>
      </c>
      <c r="N46" s="16">
        <f>Table5[[#This Row],[Cost]]/Table5[[#This Row],[SizTB]]</f>
        <v>78.989999999999995</v>
      </c>
      <c r="O46" s="17">
        <f>Table5[[#This Row],[Cost]]+(($E$108-Table5[[#This Row],[Warnty]])*($E$109*Table5[[#This Row],[Cost]]))</f>
        <v>78.989999999999995</v>
      </c>
      <c r="P46" s="9">
        <f>Table5[[#This Row],[$+Warr]]/Table5[[#This Row],[SizTB]]</f>
        <v>78.989999999999995</v>
      </c>
      <c r="Q46" s="16">
        <f>Table5[[#This Row],[$PerTB]]/$D$108</f>
        <v>15.797999999999998</v>
      </c>
      <c r="R46" s="10"/>
      <c r="S46" s="11">
        <f>((30/(1000/Table5[[#This Row],[Watts Active]]/24)*$D$107)+(30/(1000/Table5[[#This Row],[Watts Idle]]/24)*(100%-$D$107)))*$D$106*12</f>
        <v>5.1623999999999999</v>
      </c>
      <c r="T46" s="11">
        <f>Table5[[#This Row],[Energy$year]]/Table5[[#This Row],[SizTB]]</f>
        <v>5.1623999999999999</v>
      </c>
      <c r="U46" t="s">
        <v>59</v>
      </c>
    </row>
    <row r="47" spans="1:21">
      <c r="A47" s="1">
        <v>42871</v>
      </c>
      <c r="B47" t="s">
        <v>11</v>
      </c>
      <c r="C47" t="s">
        <v>58</v>
      </c>
      <c r="D47" s="56"/>
      <c r="E47">
        <v>7200</v>
      </c>
      <c r="F47" s="7">
        <v>2</v>
      </c>
      <c r="G47" s="2">
        <f>(Table5[[#This Row],[RPM]]/5400-1)</f>
        <v>0.33333333333333326</v>
      </c>
      <c r="H47">
        <v>5</v>
      </c>
      <c r="I47" s="29">
        <v>24</v>
      </c>
      <c r="J47" s="8">
        <v>6.7</v>
      </c>
      <c r="K47" s="8">
        <v>3.36</v>
      </c>
      <c r="L47" s="8">
        <v>0.75</v>
      </c>
      <c r="M47" s="19">
        <v>94.99</v>
      </c>
      <c r="N47" s="16">
        <f>Table5[[#This Row],[Cost]]/Table5[[#This Row],[SizTB]]</f>
        <v>47.494999999999997</v>
      </c>
      <c r="O47" s="17">
        <f>Table5[[#This Row],[Cost]]+(($E$108-Table5[[#This Row],[Warnty]])*($E$109*Table5[[#This Row],[Cost]]))</f>
        <v>94.99</v>
      </c>
      <c r="P47" s="9">
        <f>Table5[[#This Row],[$+Warr]]/Table5[[#This Row],[SizTB]]</f>
        <v>47.494999999999997</v>
      </c>
      <c r="Q47" s="16">
        <f>Table5[[#This Row],[$PerTB]]/$D$108</f>
        <v>9.4989999999999988</v>
      </c>
      <c r="R47" s="10"/>
      <c r="S47" s="11">
        <f>((30/(1000/Table5[[#This Row],[Watts Active]]/24)*$D$107)+(30/(1000/Table5[[#This Row],[Watts Idle]]/24)*(100%-$D$107)))*$D$106*12</f>
        <v>4.3502399999999994</v>
      </c>
      <c r="T47" s="11">
        <f>Table5[[#This Row],[Energy$year]]/Table5[[#This Row],[SizTB]]</f>
        <v>2.1751199999999997</v>
      </c>
      <c r="U47" t="s">
        <v>59</v>
      </c>
    </row>
    <row r="48" spans="1:21">
      <c r="A48" s="1">
        <v>42946</v>
      </c>
      <c r="B48" t="s">
        <v>11</v>
      </c>
      <c r="C48" t="s">
        <v>60</v>
      </c>
      <c r="D48" s="56"/>
      <c r="E48">
        <v>5400</v>
      </c>
      <c r="F48" s="7">
        <v>1</v>
      </c>
      <c r="G48" s="2">
        <f>(Table5[[#This Row],[RPM]]/5400-1)</f>
        <v>0</v>
      </c>
      <c r="H48">
        <v>5</v>
      </c>
      <c r="I48" s="29">
        <v>5</v>
      </c>
      <c r="J48" s="8">
        <v>1.7</v>
      </c>
      <c r="K48" s="8">
        <v>1.45</v>
      </c>
      <c r="L48" s="8"/>
      <c r="M48" s="19">
        <v>54.99</v>
      </c>
      <c r="N48" s="16">
        <f>Table5[[#This Row],[Cost]]/Table5[[#This Row],[SizTB]]</f>
        <v>54.99</v>
      </c>
      <c r="O48" s="17">
        <f>Table5[[#This Row],[Cost]]+(($E$108-Table5[[#This Row],[Warnty]])*($E$109*Table5[[#This Row],[Cost]]))</f>
        <v>54.99</v>
      </c>
      <c r="P48" s="9">
        <f>Table5[[#This Row],[$+Warr]]/Table5[[#This Row],[SizTB]]</f>
        <v>54.99</v>
      </c>
      <c r="Q48" s="16">
        <f>Table5[[#This Row],[$PerTB]]/$D$108</f>
        <v>10.998000000000001</v>
      </c>
      <c r="R48" s="10"/>
      <c r="S48" s="11">
        <f>((30/(1000/Table5[[#This Row],[Watts Active]]/24)*$D$107)+(30/(1000/Table5[[#This Row],[Watts Idle]]/24)*(100%-$D$107)))*$D$106*12</f>
        <v>1.62</v>
      </c>
      <c r="T48" s="11">
        <f>Table5[[#This Row],[Energy$year]]/Table5[[#This Row],[SizTB]]</f>
        <v>1.62</v>
      </c>
      <c r="U48" t="s">
        <v>59</v>
      </c>
    </row>
    <row r="49" spans="1:21">
      <c r="A49" s="1">
        <v>42946</v>
      </c>
      <c r="B49" t="s">
        <v>11</v>
      </c>
      <c r="C49" t="s">
        <v>60</v>
      </c>
      <c r="D49" s="56"/>
      <c r="E49">
        <v>5400</v>
      </c>
      <c r="F49" s="7">
        <v>2</v>
      </c>
      <c r="G49" s="2">
        <f>(Table5[[#This Row],[RPM]]/5400-1)</f>
        <v>0</v>
      </c>
      <c r="H49">
        <v>5</v>
      </c>
      <c r="I49" s="29">
        <v>5</v>
      </c>
      <c r="J49" s="8">
        <v>1.8</v>
      </c>
      <c r="K49" s="8">
        <v>1.5</v>
      </c>
      <c r="L49" s="8"/>
      <c r="M49" s="19">
        <v>104.09</v>
      </c>
      <c r="N49" s="16">
        <f>Table5[[#This Row],[Cost]]/Table5[[#This Row],[SizTB]]</f>
        <v>52.045000000000002</v>
      </c>
      <c r="O49" s="17">
        <f>Table5[[#This Row],[Cost]]+(($E$108-Table5[[#This Row],[Warnty]])*($E$109*Table5[[#This Row],[Cost]]))</f>
        <v>104.09</v>
      </c>
      <c r="P49" s="9">
        <f>Table5[[#This Row],[$+Warr]]/Table5[[#This Row],[SizTB]]</f>
        <v>52.045000000000002</v>
      </c>
      <c r="Q49" s="16">
        <f>Table5[[#This Row],[$PerTB]]/$D$108</f>
        <v>10.409000000000001</v>
      </c>
      <c r="R49" s="10"/>
      <c r="S49" s="11">
        <f>((30/(1000/Table5[[#This Row],[Watts Active]]/24)*$D$107)+(30/(1000/Table5[[#This Row],[Watts Idle]]/24)*(100%-$D$107)))*$D$106*12</f>
        <v>1.6848000000000003</v>
      </c>
      <c r="T49" s="11">
        <f>Table5[[#This Row],[Energy$year]]/Table5[[#This Row],[SizTB]]</f>
        <v>0.84240000000000015</v>
      </c>
      <c r="U49" t="s">
        <v>59</v>
      </c>
    </row>
    <row r="50" spans="1:21">
      <c r="A50" s="1">
        <v>42842</v>
      </c>
      <c r="B50" t="s">
        <v>11</v>
      </c>
      <c r="C50" t="s">
        <v>14</v>
      </c>
      <c r="D50" s="56" t="s">
        <v>69</v>
      </c>
      <c r="E50">
        <v>5900</v>
      </c>
      <c r="F50" s="7">
        <v>1</v>
      </c>
      <c r="G50" s="2">
        <f>(Table5[[#This Row],[RPM]]/5400-1)</f>
        <v>9.259259259259256E-2</v>
      </c>
      <c r="H50">
        <v>3</v>
      </c>
      <c r="I50" s="29">
        <f>12*1.2</f>
        <v>14.399999999999999</v>
      </c>
      <c r="J50" s="8">
        <v>3.6</v>
      </c>
      <c r="K50" s="8">
        <v>2.5</v>
      </c>
      <c r="L50" s="8">
        <v>0.8</v>
      </c>
      <c r="M50" s="19">
        <v>64.489999999999995</v>
      </c>
      <c r="N50" s="16">
        <f>Table5[[#This Row],[Cost]]/Table5[[#This Row],[SizTB]]</f>
        <v>64.489999999999995</v>
      </c>
      <c r="O50" s="17">
        <f>Table5[[#This Row],[Cost]]+(($E$108-Table5[[#This Row],[Warnty]])*($E$109*Table5[[#This Row],[Cost]]))</f>
        <v>64.489999999999995</v>
      </c>
      <c r="P50" s="9">
        <f>Table5[[#This Row],[$+Warr]]/Table5[[#This Row],[SizTB]]</f>
        <v>64.489999999999995</v>
      </c>
      <c r="Q50" s="16">
        <f>Table5[[#This Row],[$PerTB]]/$D$108</f>
        <v>12.898</v>
      </c>
      <c r="R50" s="10"/>
      <c r="S50" s="11">
        <f>((30/(1000/Table5[[#This Row],[Watts Active]]/24)*$D$107)+(30/(1000/Table5[[#This Row],[Watts Idle]]/24)*(100%-$D$107)))*$D$106*12</f>
        <v>2.9376000000000002</v>
      </c>
      <c r="T50" s="11">
        <f>Table5[[#This Row],[Energy$year]]/Table5[[#This Row],[SizTB]]</f>
        <v>2.9376000000000002</v>
      </c>
      <c r="U50" t="s">
        <v>59</v>
      </c>
    </row>
    <row r="51" spans="1:21">
      <c r="A51" s="1">
        <v>42860</v>
      </c>
      <c r="B51" t="s">
        <v>11</v>
      </c>
      <c r="C51" t="s">
        <v>14</v>
      </c>
      <c r="D51" s="56" t="s">
        <v>69</v>
      </c>
      <c r="E51">
        <v>5900</v>
      </c>
      <c r="F51" s="7">
        <v>2</v>
      </c>
      <c r="G51" s="2">
        <f>(Table5[[#This Row],[RPM]]/5400-1)</f>
        <v>9.259259259259256E-2</v>
      </c>
      <c r="H51">
        <v>3</v>
      </c>
      <c r="I51" s="29">
        <f>12*2</f>
        <v>24</v>
      </c>
      <c r="J51" s="8">
        <v>5</v>
      </c>
      <c r="K51" s="8">
        <v>3.7</v>
      </c>
      <c r="L51" s="8">
        <v>0.8</v>
      </c>
      <c r="M51" s="19">
        <v>79.989999999999995</v>
      </c>
      <c r="N51" s="16">
        <f>Table5[[#This Row],[Cost]]/Table5[[#This Row],[SizTB]]</f>
        <v>39.994999999999997</v>
      </c>
      <c r="O51" s="17">
        <f>Table5[[#This Row],[Cost]]+(($E$108-Table5[[#This Row],[Warnty]])*($E$109*Table5[[#This Row],[Cost]]))</f>
        <v>79.989999999999995</v>
      </c>
      <c r="P51" s="9">
        <f>Table5[[#This Row],[$+Warr]]/Table5[[#This Row],[SizTB]]</f>
        <v>39.994999999999997</v>
      </c>
      <c r="Q51" s="16">
        <f>Table5[[#This Row],[$PerTB]]/$D$108</f>
        <v>7.9989999999999997</v>
      </c>
      <c r="R51" s="10"/>
      <c r="S51" s="11">
        <f>((30/(1000/Table5[[#This Row],[Watts Active]]/24)*$D$107)+(30/(1000/Table5[[#This Row],[Watts Idle]]/24)*(100%-$D$107)))*$D$106*12</f>
        <v>4.2768000000000006</v>
      </c>
      <c r="T51" s="11">
        <f>Table5[[#This Row],[Energy$year]]/Table5[[#This Row],[SizTB]]</f>
        <v>2.1384000000000003</v>
      </c>
    </row>
    <row r="52" spans="1:21">
      <c r="A52" s="1">
        <v>42842</v>
      </c>
      <c r="B52" t="s">
        <v>11</v>
      </c>
      <c r="C52" t="s">
        <v>14</v>
      </c>
      <c r="D52" s="56" t="s">
        <v>69</v>
      </c>
      <c r="E52">
        <v>5900</v>
      </c>
      <c r="F52" s="7">
        <v>3</v>
      </c>
      <c r="G52" s="2">
        <f>(Table5[[#This Row],[RPM]]/5400-1)</f>
        <v>9.259259259259256E-2</v>
      </c>
      <c r="H52">
        <v>3</v>
      </c>
      <c r="I52" s="29">
        <f>12*2</f>
        <v>24</v>
      </c>
      <c r="J52" s="8">
        <v>5.6</v>
      </c>
      <c r="K52" s="8">
        <v>4.9000000000000004</v>
      </c>
      <c r="L52" s="8">
        <v>0.6</v>
      </c>
      <c r="M52" s="19">
        <v>109</v>
      </c>
      <c r="N52" s="16">
        <f>Table5[[#This Row],[Cost]]/Table5[[#This Row],[SizTB]]</f>
        <v>36.333333333333336</v>
      </c>
      <c r="O52" s="17">
        <f>Table5[[#This Row],[Cost]]+(($E$108-Table5[[#This Row],[Warnty]])*($E$109*Table5[[#This Row],[Cost]]))</f>
        <v>109</v>
      </c>
      <c r="P52" s="9">
        <f>Table5[[#This Row],[$+Warr]]/Table5[[#This Row],[SizTB]]</f>
        <v>36.333333333333336</v>
      </c>
      <c r="Q52" s="16">
        <f>Table5[[#This Row],[$PerTB]]/$D$108</f>
        <v>7.2666666666666675</v>
      </c>
      <c r="R52" s="10"/>
      <c r="S52" s="11">
        <f>((30/(1000/Table5[[#This Row],[Watts Active]]/24)*$D$107)+(30/(1000/Table5[[#This Row],[Watts Idle]]/24)*(100%-$D$107)))*$D$106*12</f>
        <v>5.4432000000000009</v>
      </c>
      <c r="T52" s="11">
        <f>Table5[[#This Row],[Energy$year]]/Table5[[#This Row],[SizTB]]</f>
        <v>1.8144000000000002</v>
      </c>
    </row>
    <row r="53" spans="1:21">
      <c r="A53" s="1">
        <v>42860</v>
      </c>
      <c r="B53" t="s">
        <v>11</v>
      </c>
      <c r="C53" t="s">
        <v>14</v>
      </c>
      <c r="D53" s="56" t="s">
        <v>69</v>
      </c>
      <c r="E53">
        <v>5900</v>
      </c>
      <c r="F53" s="7">
        <v>4</v>
      </c>
      <c r="G53" s="2">
        <f>(Table5[[#This Row],[RPM]]/5400-1)</f>
        <v>9.259259259259256E-2</v>
      </c>
      <c r="H53">
        <v>3</v>
      </c>
      <c r="I53" s="29">
        <f>12*2</f>
        <v>24</v>
      </c>
      <c r="J53" s="8">
        <v>4.8</v>
      </c>
      <c r="K53" s="8">
        <v>3.95</v>
      </c>
      <c r="L53" s="8">
        <v>0.5</v>
      </c>
      <c r="M53" s="19">
        <v>125.99</v>
      </c>
      <c r="N53" s="16">
        <f>Table5[[#This Row],[Cost]]/Table5[[#This Row],[SizTB]]</f>
        <v>31.497499999999999</v>
      </c>
      <c r="O53" s="17">
        <f>Table5[[#This Row],[Cost]]+(($E$108-Table5[[#This Row],[Warnty]])*($E$109*Table5[[#This Row],[Cost]]))</f>
        <v>125.99</v>
      </c>
      <c r="P53" s="9">
        <f>Table5[[#This Row],[$+Warr]]/Table5[[#This Row],[SizTB]]</f>
        <v>31.497499999999999</v>
      </c>
      <c r="Q53" s="16">
        <f>Table5[[#This Row],[$PerTB]]/$D$108</f>
        <v>6.2995000000000001</v>
      </c>
      <c r="R53" s="10"/>
      <c r="S53" s="11">
        <f>((30/(1000/Table5[[#This Row],[Watts Active]]/24)*$D$107)+(30/(1000/Table5[[#This Row],[Watts Idle]]/24)*(100%-$D$107)))*$D$106*12</f>
        <v>4.4496000000000002</v>
      </c>
      <c r="T53" s="11">
        <f>Table5[[#This Row],[Energy$year]]/Table5[[#This Row],[SizTB]]</f>
        <v>1.1124000000000001</v>
      </c>
    </row>
    <row r="54" spans="1:21">
      <c r="A54" s="1">
        <v>42893</v>
      </c>
      <c r="B54" t="s">
        <v>11</v>
      </c>
      <c r="C54" t="s">
        <v>14</v>
      </c>
      <c r="D54" s="56" t="s">
        <v>69</v>
      </c>
      <c r="E54">
        <v>7200</v>
      </c>
      <c r="F54" s="7">
        <v>6</v>
      </c>
      <c r="G54" s="2">
        <f>(Table5[[#This Row],[RPM]]/5400-1)</f>
        <v>0.33333333333333326</v>
      </c>
      <c r="H54">
        <v>3</v>
      </c>
      <c r="I54" s="29">
        <f>12*2</f>
        <v>24</v>
      </c>
      <c r="J54" s="8">
        <v>9</v>
      </c>
      <c r="K54" s="8">
        <v>7.2</v>
      </c>
      <c r="L54" s="8">
        <v>0.6</v>
      </c>
      <c r="M54" s="19">
        <v>189.99</v>
      </c>
      <c r="N54" s="16">
        <f>Table5[[#This Row],[Cost]]/Table5[[#This Row],[SizTB]]</f>
        <v>31.665000000000003</v>
      </c>
      <c r="O54" s="17">
        <f>Table5[[#This Row],[Cost]]+(($E$108-Table5[[#This Row],[Warnty]])*($E$109*Table5[[#This Row],[Cost]]))</f>
        <v>189.99</v>
      </c>
      <c r="P54" s="9">
        <f>Table5[[#This Row],[$+Warr]]/Table5[[#This Row],[SizTB]]</f>
        <v>31.665000000000003</v>
      </c>
      <c r="Q54" s="16">
        <f>Table5[[#This Row],[$PerTB]]/$D$108</f>
        <v>6.3330000000000002</v>
      </c>
      <c r="R54" s="10"/>
      <c r="S54" s="11">
        <f>((30/(1000/Table5[[#This Row],[Watts Active]]/24)*$D$107)+(30/(1000/Table5[[#This Row],[Watts Idle]]/24)*(100%-$D$107)))*$D$106*12</f>
        <v>8.1648000000000014</v>
      </c>
      <c r="T54" s="11">
        <f>Table5[[#This Row],[Energy$year]]/Table5[[#This Row],[SizTB]]</f>
        <v>1.3608000000000002</v>
      </c>
    </row>
    <row r="55" spans="1:21">
      <c r="A55" s="1">
        <v>42947</v>
      </c>
      <c r="B55" t="s">
        <v>11</v>
      </c>
      <c r="C55" t="s">
        <v>14</v>
      </c>
      <c r="D55" s="56" t="s">
        <v>69</v>
      </c>
      <c r="E55">
        <v>7200</v>
      </c>
      <c r="F55" s="7">
        <v>8</v>
      </c>
      <c r="G55" s="2">
        <f>(Table5[[#This Row],[RPM]]/5400-1)</f>
        <v>0.33333333333333326</v>
      </c>
      <c r="H55">
        <v>3</v>
      </c>
      <c r="I55" s="29">
        <f>12*2</f>
        <v>24</v>
      </c>
      <c r="J55" s="8">
        <v>9</v>
      </c>
      <c r="K55" s="8">
        <v>7.2</v>
      </c>
      <c r="L55" s="8">
        <v>0.6</v>
      </c>
      <c r="M55" s="19">
        <f>264.99-25</f>
        <v>239.99</v>
      </c>
      <c r="N55" s="16">
        <f>Table5[[#This Row],[Cost]]/Table5[[#This Row],[SizTB]]</f>
        <v>29.998750000000001</v>
      </c>
      <c r="O55" s="17">
        <f>Table5[[#This Row],[Cost]]+(($E$108-Table5[[#This Row],[Warnty]])*($E$109*Table5[[#This Row],[Cost]]))</f>
        <v>239.99</v>
      </c>
      <c r="P55" s="9">
        <f>Table5[[#This Row],[$+Warr]]/Table5[[#This Row],[SizTB]]</f>
        <v>29.998750000000001</v>
      </c>
      <c r="Q55" s="16">
        <f>Table5[[#This Row],[$PerTB]]/$D$108</f>
        <v>5.9997500000000006</v>
      </c>
      <c r="R55" s="10"/>
      <c r="S55" s="11">
        <f>((30/(1000/Table5[[#This Row],[Watts Active]]/24)*$D$107)+(30/(1000/Table5[[#This Row],[Watts Idle]]/24)*(100%-$D$107)))*$D$106*12</f>
        <v>8.1648000000000014</v>
      </c>
      <c r="T55" s="11">
        <f>Table5[[#This Row],[Energy$year]]/Table5[[#This Row],[SizTB]]</f>
        <v>1.0206000000000002</v>
      </c>
    </row>
    <row r="56" spans="1:21">
      <c r="A56" s="1">
        <v>42842</v>
      </c>
      <c r="B56" t="s">
        <v>11</v>
      </c>
      <c r="C56" t="s">
        <v>14</v>
      </c>
      <c r="D56" s="56" t="s">
        <v>69</v>
      </c>
      <c r="E56">
        <v>7200</v>
      </c>
      <c r="F56" s="7">
        <v>10</v>
      </c>
      <c r="G56" s="2">
        <f>(Table5[[#This Row],[RPM]]/5400-1)</f>
        <v>0.33333333333333326</v>
      </c>
      <c r="H56">
        <v>3</v>
      </c>
      <c r="I56" s="29">
        <f>12*1.8</f>
        <v>21.6</v>
      </c>
      <c r="J56" s="8">
        <v>6.8</v>
      </c>
      <c r="K56" s="8">
        <v>4.42</v>
      </c>
      <c r="L56" s="8">
        <v>0.8</v>
      </c>
      <c r="M56" s="19">
        <v>369.99</v>
      </c>
      <c r="N56" s="16">
        <f>Table5[[#This Row],[Cost]]/Table5[[#This Row],[SizTB]]</f>
        <v>36.999000000000002</v>
      </c>
      <c r="O56" s="17">
        <f>Table5[[#This Row],[Cost]]+(($E$108-Table5[[#This Row],[Warnty]])*($E$109*Table5[[#This Row],[Cost]]))</f>
        <v>369.99</v>
      </c>
      <c r="P56" s="9">
        <f>Table5[[#This Row],[$+Warr]]/Table5[[#This Row],[SizTB]]</f>
        <v>36.999000000000002</v>
      </c>
      <c r="Q56" s="16">
        <f>Table5[[#This Row],[$PerTB]]/$D$108</f>
        <v>7.3998000000000008</v>
      </c>
      <c r="R56" s="10"/>
      <c r="S56" s="11">
        <f>((30/(1000/Table5[[#This Row],[Watts Active]]/24)*$D$107)+(30/(1000/Table5[[#This Row],[Watts Idle]]/24)*(100%-$D$107)))*$D$106*12</f>
        <v>5.2876799999999999</v>
      </c>
      <c r="T56" s="11">
        <f>Table5[[#This Row],[Energy$year]]/Table5[[#This Row],[SizTB]]</f>
        <v>0.52876800000000002</v>
      </c>
    </row>
    <row r="57" spans="1:21">
      <c r="A57" s="1">
        <v>42842</v>
      </c>
      <c r="B57" t="s">
        <v>11</v>
      </c>
      <c r="C57" t="s">
        <v>18</v>
      </c>
      <c r="D57" s="56" t="s">
        <v>69</v>
      </c>
      <c r="E57">
        <v>7200</v>
      </c>
      <c r="F57" s="7">
        <v>2</v>
      </c>
      <c r="G57" s="2">
        <f>(Table5[[#This Row],[RPM]]/5400-1)</f>
        <v>0.33333333333333326</v>
      </c>
      <c r="H57">
        <v>5</v>
      </c>
      <c r="I57" s="29">
        <f>12*2</f>
        <v>24</v>
      </c>
      <c r="J57" s="8">
        <v>7.5</v>
      </c>
      <c r="K57" s="8">
        <v>4.5</v>
      </c>
      <c r="L57" s="8">
        <v>0.8</v>
      </c>
      <c r="M57" s="19">
        <v>144.99</v>
      </c>
      <c r="N57" s="16">
        <f>Table5[[#This Row],[Cost]]/Table5[[#This Row],[SizTB]]</f>
        <v>72.495000000000005</v>
      </c>
      <c r="O57" s="17">
        <f>Table5[[#This Row],[Cost]]+(($E$108-Table5[[#This Row],[Warnty]])*($E$109*Table5[[#This Row],[Cost]]))</f>
        <v>144.99</v>
      </c>
      <c r="P57" s="9">
        <f>Table5[[#This Row],[$+Warr]]/Table5[[#This Row],[SizTB]]</f>
        <v>72.495000000000005</v>
      </c>
      <c r="Q57" s="16">
        <f>Table5[[#This Row],[$PerTB]]/$D$108</f>
        <v>14.499000000000001</v>
      </c>
      <c r="R57" s="10"/>
      <c r="S57" s="11">
        <f>((30/(1000/Table5[[#This Row],[Watts Active]]/24)*$D$107)+(30/(1000/Table5[[#This Row],[Watts Idle]]/24)*(100%-$D$107)))*$D$106*12</f>
        <v>5.5079999999999991</v>
      </c>
      <c r="T57" s="20">
        <f>Table5[[#This Row],[Energy$year]]/Table5[[#This Row],[SizTB]]</f>
        <v>2.7539999999999996</v>
      </c>
    </row>
    <row r="58" spans="1:21">
      <c r="A58" s="1">
        <v>42842</v>
      </c>
      <c r="B58" t="s">
        <v>11</v>
      </c>
      <c r="C58" t="s">
        <v>18</v>
      </c>
      <c r="D58" s="56" t="s">
        <v>69</v>
      </c>
      <c r="E58">
        <v>7200</v>
      </c>
      <c r="F58" s="7">
        <v>4</v>
      </c>
      <c r="G58" s="2">
        <f>(Table5[[#This Row],[RPM]]/5400-1)</f>
        <v>0.33333333333333326</v>
      </c>
      <c r="H58">
        <v>5</v>
      </c>
      <c r="I58" s="29">
        <f>12*2</f>
        <v>24</v>
      </c>
      <c r="J58" s="8">
        <v>6.7</v>
      </c>
      <c r="K58" s="8">
        <v>6</v>
      </c>
      <c r="L58" s="8">
        <v>0.6</v>
      </c>
      <c r="M58" s="19">
        <v>209.99</v>
      </c>
      <c r="N58" s="16">
        <f>Table5[[#This Row],[Cost]]/Table5[[#This Row],[SizTB]]</f>
        <v>52.497500000000002</v>
      </c>
      <c r="O58" s="17">
        <f>Table5[[#This Row],[Cost]]+(($E$108-Table5[[#This Row],[Warnty]])*($E$109*Table5[[#This Row],[Cost]]))</f>
        <v>209.99</v>
      </c>
      <c r="P58" s="9">
        <f>Table5[[#This Row],[$+Warr]]/Table5[[#This Row],[SizTB]]</f>
        <v>52.497500000000002</v>
      </c>
      <c r="Q58" s="16">
        <f>Table5[[#This Row],[$PerTB]]/$D$108</f>
        <v>10.499500000000001</v>
      </c>
      <c r="R58" s="10"/>
      <c r="S58" s="11">
        <f>((30/(1000/Table5[[#This Row],[Watts Active]]/24)*$D$107)+(30/(1000/Table5[[#This Row],[Watts Idle]]/24)*(100%-$D$107)))*$D$106*12</f>
        <v>6.6312000000000015</v>
      </c>
      <c r="T58" s="20">
        <f>Table5[[#This Row],[Energy$year]]/Table5[[#This Row],[SizTB]]</f>
        <v>1.6578000000000004</v>
      </c>
    </row>
    <row r="59" spans="1:21">
      <c r="A59" s="1">
        <v>42842</v>
      </c>
      <c r="B59" t="s">
        <v>11</v>
      </c>
      <c r="C59" t="s">
        <v>18</v>
      </c>
      <c r="D59" s="56" t="s">
        <v>69</v>
      </c>
      <c r="E59">
        <v>7200</v>
      </c>
      <c r="F59" s="7">
        <v>6</v>
      </c>
      <c r="G59" s="2">
        <f>(Table5[[#This Row],[RPM]]/5400-1)</f>
        <v>0.33333333333333326</v>
      </c>
      <c r="H59">
        <v>5</v>
      </c>
      <c r="I59" s="29">
        <f>12*2</f>
        <v>24</v>
      </c>
      <c r="J59" s="8">
        <v>9</v>
      </c>
      <c r="K59" s="8">
        <v>7.6</v>
      </c>
      <c r="L59" s="8">
        <v>0.6</v>
      </c>
      <c r="M59" s="19">
        <v>249.99</v>
      </c>
      <c r="N59" s="16">
        <f>Table5[[#This Row],[Cost]]/Table5[[#This Row],[SizTB]]</f>
        <v>41.664999999999999</v>
      </c>
      <c r="O59" s="17">
        <f>Table5[[#This Row],[Cost]]+(($E$108-Table5[[#This Row],[Warnty]])*($E$109*Table5[[#This Row],[Cost]]))</f>
        <v>249.99</v>
      </c>
      <c r="P59" s="9">
        <f>Table5[[#This Row],[$+Warr]]/Table5[[#This Row],[SizTB]]</f>
        <v>41.664999999999999</v>
      </c>
      <c r="Q59" s="16">
        <f>Table5[[#This Row],[$PerTB]]/$D$108</f>
        <v>8.3330000000000002</v>
      </c>
      <c r="R59" s="10"/>
      <c r="S59" s="11">
        <f>((30/(1000/Table5[[#This Row],[Watts Active]]/24)*$D$107)+(30/(1000/Table5[[#This Row],[Watts Idle]]/24)*(100%-$D$107)))*$D$106*12</f>
        <v>8.5104000000000006</v>
      </c>
      <c r="T59" s="20">
        <f>Table5[[#This Row],[Energy$year]]/Table5[[#This Row],[SizTB]]</f>
        <v>1.4184000000000001</v>
      </c>
    </row>
    <row r="60" spans="1:21">
      <c r="A60" s="1">
        <v>42893</v>
      </c>
      <c r="B60" t="s">
        <v>11</v>
      </c>
      <c r="C60" t="s">
        <v>18</v>
      </c>
      <c r="D60" s="56" t="s">
        <v>69</v>
      </c>
      <c r="E60">
        <v>7200</v>
      </c>
      <c r="F60" s="7">
        <v>8</v>
      </c>
      <c r="G60" s="2">
        <f>(Table5[[#This Row],[RPM]]/5400-1)</f>
        <v>0.33333333333333326</v>
      </c>
      <c r="H60">
        <v>5</v>
      </c>
      <c r="I60" s="29">
        <f>12*2</f>
        <v>24</v>
      </c>
      <c r="J60" s="8">
        <v>9</v>
      </c>
      <c r="K60" s="8">
        <v>7.6</v>
      </c>
      <c r="L60" s="8">
        <v>0.6</v>
      </c>
      <c r="M60" s="19">
        <v>299.99</v>
      </c>
      <c r="N60" s="16">
        <f>Table5[[#This Row],[Cost]]/Table5[[#This Row],[SizTB]]</f>
        <v>37.498750000000001</v>
      </c>
      <c r="O60" s="17">
        <f>Table5[[#This Row],[Cost]]+(($E$108-Table5[[#This Row],[Warnty]])*($E$109*Table5[[#This Row],[Cost]]))</f>
        <v>299.99</v>
      </c>
      <c r="P60" s="9">
        <f>Table5[[#This Row],[$+Warr]]/Table5[[#This Row],[SizTB]]</f>
        <v>37.498750000000001</v>
      </c>
      <c r="Q60" s="16">
        <f>Table5[[#This Row],[$PerTB]]/$D$108</f>
        <v>7.4997500000000006</v>
      </c>
      <c r="R60" s="10"/>
      <c r="S60" s="11">
        <f>((30/(1000/Table5[[#This Row],[Watts Active]]/24)*$D$107)+(30/(1000/Table5[[#This Row],[Watts Idle]]/24)*(100%-$D$107)))*$D$106*12</f>
        <v>8.5104000000000006</v>
      </c>
      <c r="T60" s="20">
        <f>Table5[[#This Row],[Energy$year]]/Table5[[#This Row],[SizTB]]</f>
        <v>1.0638000000000001</v>
      </c>
    </row>
    <row r="61" spans="1:21">
      <c r="A61" s="1">
        <v>42842</v>
      </c>
      <c r="B61" t="s">
        <v>11</v>
      </c>
      <c r="C61" t="s">
        <v>18</v>
      </c>
      <c r="D61" s="56" t="s">
        <v>69</v>
      </c>
      <c r="E61">
        <v>7200</v>
      </c>
      <c r="F61" s="7">
        <v>10</v>
      </c>
      <c r="G61" s="2">
        <f>(Table5[[#This Row],[RPM]]/5400-1)</f>
        <v>0.33333333333333326</v>
      </c>
      <c r="H61">
        <v>5</v>
      </c>
      <c r="I61" s="29">
        <f>12*2</f>
        <v>24</v>
      </c>
      <c r="J61" s="8">
        <v>6.8</v>
      </c>
      <c r="K61" s="8">
        <v>4.4000000000000004</v>
      </c>
      <c r="L61" s="8">
        <v>0.8</v>
      </c>
      <c r="M61" s="19">
        <v>426.98</v>
      </c>
      <c r="N61" s="16">
        <f>Table5[[#This Row],[Cost]]/Table5[[#This Row],[SizTB]]</f>
        <v>42.698</v>
      </c>
      <c r="O61" s="17">
        <f>Table5[[#This Row],[Cost]]+(($E$108-Table5[[#This Row],[Warnty]])*($E$109*Table5[[#This Row],[Cost]]))</f>
        <v>426.98</v>
      </c>
      <c r="P61" s="9">
        <f>Table5[[#This Row],[$+Warr]]/Table5[[#This Row],[SizTB]]</f>
        <v>42.698</v>
      </c>
      <c r="Q61" s="16">
        <f>Table5[[#This Row],[$PerTB]]/$D$108</f>
        <v>8.5396000000000001</v>
      </c>
      <c r="R61" s="10"/>
      <c r="S61" s="11">
        <f>((30/(1000/Table5[[#This Row],[Watts Active]]/24)*$D$107)+(30/(1000/Table5[[#This Row],[Watts Idle]]/24)*(100%-$D$107)))*$D$106*12</f>
        <v>5.2704000000000004</v>
      </c>
      <c r="T61" s="20">
        <f>Table5[[#This Row],[Energy$year]]/Table5[[#This Row],[SizTB]]</f>
        <v>0.52704000000000006</v>
      </c>
    </row>
    <row r="62" spans="1:21">
      <c r="A62" s="1">
        <v>42894</v>
      </c>
      <c r="B62" t="s">
        <v>11</v>
      </c>
      <c r="C62" t="s">
        <v>15</v>
      </c>
      <c r="D62" s="56"/>
      <c r="E62">
        <v>5900</v>
      </c>
      <c r="F62" s="7">
        <v>4</v>
      </c>
      <c r="G62" s="2">
        <f>(Table5[[#This Row],[RPM]]/5400-1)</f>
        <v>9.259259259259256E-2</v>
      </c>
      <c r="H62">
        <v>3</v>
      </c>
      <c r="I62" s="29">
        <v>24</v>
      </c>
      <c r="J62" s="8">
        <v>6.49</v>
      </c>
      <c r="K62" s="8">
        <v>4.59</v>
      </c>
      <c r="L62" s="8">
        <v>0.77</v>
      </c>
      <c r="M62" s="19">
        <v>189.99</v>
      </c>
      <c r="N62" s="16">
        <f>Table5[[#This Row],[Cost]]/Table5[[#This Row],[SizTB]]</f>
        <v>47.497500000000002</v>
      </c>
      <c r="O62" s="17">
        <f>Table5[[#This Row],[Cost]]+(($E$108-Table5[[#This Row],[Warnty]])*($E$109*Table5[[#This Row],[Cost]]))</f>
        <v>189.99</v>
      </c>
      <c r="P62" s="9">
        <f>Table5[[#This Row],[$+Warr]]/Table5[[#This Row],[SizTB]]</f>
        <v>47.497500000000002</v>
      </c>
      <c r="Q62" s="16">
        <f>Table5[[#This Row],[$PerTB]]/$D$108</f>
        <v>9.4995000000000012</v>
      </c>
      <c r="R62" s="10"/>
      <c r="S62" s="11">
        <f>((30/(1000/Table5[[#This Row],[Watts Active]]/24)*$D$107)+(30/(1000/Table5[[#This Row],[Watts Idle]]/24)*(100%-$D$107)))*$D$106*12</f>
        <v>5.3676000000000004</v>
      </c>
      <c r="T62" s="20">
        <f>Table5[[#This Row],[Energy$year]]/Table5[[#This Row],[SizTB]]</f>
        <v>1.3419000000000001</v>
      </c>
    </row>
    <row r="63" spans="1:21">
      <c r="A63" s="1">
        <v>42894</v>
      </c>
      <c r="B63" t="s">
        <v>55</v>
      </c>
      <c r="C63" t="s">
        <v>56</v>
      </c>
      <c r="D63" s="56" t="s">
        <v>69</v>
      </c>
      <c r="E63">
        <v>7200</v>
      </c>
      <c r="F63" s="7">
        <v>4</v>
      </c>
      <c r="G63" s="2">
        <f>(Table5[[#This Row],[RPM]]/5400-1)</f>
        <v>0.33333333333333326</v>
      </c>
      <c r="H63">
        <v>3</v>
      </c>
      <c r="I63" s="29"/>
      <c r="J63" s="8">
        <v>9.6</v>
      </c>
      <c r="K63" s="8">
        <v>5.2</v>
      </c>
      <c r="L63" s="8"/>
      <c r="M63" s="19">
        <v>139.99</v>
      </c>
      <c r="N63" s="16">
        <f>Table5[[#This Row],[Cost]]/Table5[[#This Row],[SizTB]]</f>
        <v>34.997500000000002</v>
      </c>
      <c r="O63" s="17">
        <f>Table5[[#This Row],[Cost]]+(($E$108-Table5[[#This Row],[Warnty]])*($E$109*Table5[[#This Row],[Cost]]))</f>
        <v>139.99</v>
      </c>
      <c r="P63" s="9">
        <f>Table5[[#This Row],[$+Warr]]/Table5[[#This Row],[SizTB]]</f>
        <v>34.997500000000002</v>
      </c>
      <c r="Q63" s="16">
        <f>Table5[[#This Row],[$PerTB]]/$D$108</f>
        <v>6.9995000000000003</v>
      </c>
      <c r="R63" s="30"/>
      <c r="S63" s="11">
        <f>((30/(1000/Table5[[#This Row],[Watts Active]]/24)*$D$107)+(30/(1000/Table5[[#This Row],[Watts Idle]]/24)*(100%-$D$107)))*$D$106*12</f>
        <v>6.5664000000000016</v>
      </c>
      <c r="T63" s="20">
        <f>Table5[[#This Row],[Energy$year]]/Table5[[#This Row],[SizTB]]</f>
        <v>1.6416000000000004</v>
      </c>
    </row>
    <row r="64" spans="1:21">
      <c r="A64" s="1">
        <v>42894</v>
      </c>
      <c r="B64" t="s">
        <v>55</v>
      </c>
      <c r="C64" t="s">
        <v>56</v>
      </c>
      <c r="D64" s="56" t="s">
        <v>69</v>
      </c>
      <c r="E64">
        <v>7200</v>
      </c>
      <c r="F64" s="7">
        <v>6</v>
      </c>
      <c r="G64" s="2">
        <f>(Table5[[#This Row],[RPM]]/5400-1)</f>
        <v>0.33333333333333326</v>
      </c>
      <c r="H64">
        <v>3</v>
      </c>
      <c r="I64" s="29"/>
      <c r="J64" s="8">
        <v>10.1</v>
      </c>
      <c r="K64" s="8">
        <v>6.7</v>
      </c>
      <c r="L64" s="8"/>
      <c r="M64" s="19">
        <v>214.99</v>
      </c>
      <c r="N64" s="16">
        <f>Table5[[#This Row],[Cost]]/Table5[[#This Row],[SizTB]]</f>
        <v>35.831666666666671</v>
      </c>
      <c r="O64" s="17">
        <f>Table5[[#This Row],[Cost]]+(($E$108-Table5[[#This Row],[Warnty]])*($E$109*Table5[[#This Row],[Cost]]))</f>
        <v>214.99</v>
      </c>
      <c r="P64" s="9">
        <f>Table5[[#This Row],[$+Warr]]/Table5[[#This Row],[SizTB]]</f>
        <v>35.831666666666671</v>
      </c>
      <c r="Q64" s="16">
        <f>Table5[[#This Row],[$PerTB]]/$D$108</f>
        <v>7.1663333333333341</v>
      </c>
      <c r="R64" s="30"/>
      <c r="S64" s="11">
        <f>((30/(1000/Table5[[#This Row],[Watts Active]]/24)*$D$107)+(30/(1000/Table5[[#This Row],[Watts Idle]]/24)*(100%-$D$107)))*$D$106*12</f>
        <v>7.9703999999999997</v>
      </c>
      <c r="T64" s="20">
        <f>Table5[[#This Row],[Energy$year]]/Table5[[#This Row],[SizTB]]</f>
        <v>1.3284</v>
      </c>
    </row>
    <row r="65" spans="1:20">
      <c r="A65" s="1">
        <v>42894</v>
      </c>
      <c r="B65" t="s">
        <v>55</v>
      </c>
      <c r="C65" t="s">
        <v>56</v>
      </c>
      <c r="D65" s="56" t="s">
        <v>69</v>
      </c>
      <c r="E65">
        <v>7200</v>
      </c>
      <c r="F65" s="7">
        <v>8</v>
      </c>
      <c r="G65" s="2">
        <f>(Table5[[#This Row],[RPM]]/5400-1)</f>
        <v>0.33333333333333326</v>
      </c>
      <c r="H65">
        <v>3</v>
      </c>
      <c r="I65" s="29"/>
      <c r="J65" s="8">
        <v>9.1999999999999993</v>
      </c>
      <c r="K65" s="8">
        <v>6.2</v>
      </c>
      <c r="L65" s="8"/>
      <c r="M65" s="19">
        <v>249.99</v>
      </c>
      <c r="N65" s="16">
        <f>Table5[[#This Row],[Cost]]/Table5[[#This Row],[SizTB]]</f>
        <v>31.248750000000001</v>
      </c>
      <c r="O65" s="17">
        <f>Table5[[#This Row],[Cost]]+(($E$108-Table5[[#This Row],[Warnty]])*($E$109*Table5[[#This Row],[Cost]]))</f>
        <v>249.99</v>
      </c>
      <c r="P65" s="9">
        <f>Table5[[#This Row],[$+Warr]]/Table5[[#This Row],[SizTB]]</f>
        <v>31.248750000000001</v>
      </c>
      <c r="Q65" s="16">
        <f>Table5[[#This Row],[$PerTB]]/$D$108</f>
        <v>6.2497500000000006</v>
      </c>
      <c r="R65" s="30"/>
      <c r="S65" s="11">
        <f>((30/(1000/Table5[[#This Row],[Watts Active]]/24)*$D$107)+(30/(1000/Table5[[#This Row],[Watts Idle]]/24)*(100%-$D$107)))*$D$106*12</f>
        <v>7.3440000000000012</v>
      </c>
      <c r="T65" s="20">
        <f>Table5[[#This Row],[Energy$year]]/Table5[[#This Row],[SizTB]]</f>
        <v>0.91800000000000015</v>
      </c>
    </row>
    <row r="66" spans="1:20">
      <c r="A66" s="1">
        <v>42944</v>
      </c>
      <c r="B66" t="s">
        <v>6</v>
      </c>
      <c r="C66" t="s">
        <v>5</v>
      </c>
      <c r="D66" s="56"/>
      <c r="E66">
        <v>7200</v>
      </c>
      <c r="F66" s="7">
        <v>1</v>
      </c>
      <c r="G66" s="2">
        <f>(Table5[[#This Row],[RPM]]/5400-1)</f>
        <v>0.33333333333333326</v>
      </c>
      <c r="H66">
        <v>5</v>
      </c>
      <c r="I66" s="29"/>
      <c r="J66" s="8">
        <v>6.8</v>
      </c>
      <c r="K66" s="8">
        <v>6.1</v>
      </c>
      <c r="L66" s="8">
        <v>0.8</v>
      </c>
      <c r="M66" s="19">
        <v>69.989999999999995</v>
      </c>
      <c r="N66" s="16">
        <f>Table5[[#This Row],[Cost]]/Table5[[#This Row],[SizTB]]</f>
        <v>69.989999999999995</v>
      </c>
      <c r="O66" s="17">
        <f>Table5[[#This Row],[Cost]]+(($E$108-Table5[[#This Row],[Warnty]])*($E$109*Table5[[#This Row],[Cost]]))</f>
        <v>69.989999999999995</v>
      </c>
      <c r="P66" s="9">
        <f>Table5[[#This Row],[$+Warr]]/Table5[[#This Row],[SizTB]]</f>
        <v>69.989999999999995</v>
      </c>
      <c r="Q66" s="16">
        <f>Table5[[#This Row],[$PerTB]]/$D$108</f>
        <v>13.997999999999999</v>
      </c>
      <c r="R66" s="10"/>
      <c r="S66" s="11">
        <f>((30/(1000/Table5[[#This Row],[Watts Active]]/24)*$D$107)+(30/(1000/Table5[[#This Row],[Watts Idle]]/24)*(100%-$D$107)))*$D$106*12</f>
        <v>6.7392000000000012</v>
      </c>
      <c r="T66" s="11">
        <f>Table5[[#This Row],[Energy$year]]/Table5[[#This Row],[SizTB]]</f>
        <v>6.7392000000000012</v>
      </c>
    </row>
    <row r="67" spans="1:20">
      <c r="A67" s="1">
        <v>42894</v>
      </c>
      <c r="B67" t="s">
        <v>6</v>
      </c>
      <c r="C67" t="s">
        <v>5</v>
      </c>
      <c r="D67" s="56"/>
      <c r="E67">
        <v>7200</v>
      </c>
      <c r="F67" s="7">
        <v>2</v>
      </c>
      <c r="G67" s="2">
        <f>(Table5[[#This Row],[RPM]]/5400-1)</f>
        <v>0.33333333333333326</v>
      </c>
      <c r="H67">
        <v>5</v>
      </c>
      <c r="I67" s="29"/>
      <c r="J67" s="8">
        <v>9.5</v>
      </c>
      <c r="K67" s="8">
        <v>8.1</v>
      </c>
      <c r="L67" s="8">
        <v>1.3</v>
      </c>
      <c r="M67" s="19">
        <v>115.99</v>
      </c>
      <c r="N67" s="16">
        <f>Table5[[#This Row],[Cost]]/Table5[[#This Row],[SizTB]]</f>
        <v>57.994999999999997</v>
      </c>
      <c r="O67" s="17">
        <f>Table5[[#This Row],[Cost]]+(($E$108-Table5[[#This Row],[Warnty]])*($E$109*Table5[[#This Row],[Cost]]))</f>
        <v>115.99</v>
      </c>
      <c r="P67" s="9">
        <f>Table5[[#This Row],[$+Warr]]/Table5[[#This Row],[SizTB]]</f>
        <v>57.994999999999997</v>
      </c>
      <c r="Q67" s="16">
        <f>Table5[[#This Row],[$PerTB]]/$D$108</f>
        <v>11.599</v>
      </c>
      <c r="R67" s="10"/>
      <c r="S67" s="11">
        <f>((30/(1000/Table5[[#This Row],[Watts Active]]/24)*$D$107)+(30/(1000/Table5[[#This Row],[Watts Idle]]/24)*(100%-$D$107)))*$D$106*12</f>
        <v>9.0504000000000016</v>
      </c>
      <c r="T67" s="11">
        <f>Table5[[#This Row],[Energy$year]]/Table5[[#This Row],[SizTB]]</f>
        <v>4.5252000000000008</v>
      </c>
    </row>
    <row r="68" spans="1:20">
      <c r="A68" s="1">
        <v>42895</v>
      </c>
      <c r="B68" t="s">
        <v>6</v>
      </c>
      <c r="C68" t="s">
        <v>5</v>
      </c>
      <c r="D68" s="56"/>
      <c r="E68">
        <v>7200</v>
      </c>
      <c r="F68" s="7">
        <v>4</v>
      </c>
      <c r="G68" s="2">
        <f>(Table5[[#This Row],[RPM]]/5400-1)</f>
        <v>0.33333333333333326</v>
      </c>
      <c r="H68">
        <v>5</v>
      </c>
      <c r="I68" s="29"/>
      <c r="J68" s="8">
        <v>10.6</v>
      </c>
      <c r="K68" s="8">
        <v>7.6</v>
      </c>
      <c r="L68" s="8">
        <v>1.6</v>
      </c>
      <c r="M68" s="19">
        <v>187.99</v>
      </c>
      <c r="N68" s="16">
        <f>Table5[[#This Row],[Cost]]/Table5[[#This Row],[SizTB]]</f>
        <v>46.997500000000002</v>
      </c>
      <c r="O68" s="17">
        <f>Table5[[#This Row],[Cost]]+(($E$108-Table5[[#This Row],[Warnty]])*($E$109*Table5[[#This Row],[Cost]]))</f>
        <v>187.99</v>
      </c>
      <c r="P68" s="9">
        <f>Table5[[#This Row],[$+Warr]]/Table5[[#This Row],[SizTB]]</f>
        <v>46.997500000000002</v>
      </c>
      <c r="Q68" s="16">
        <f>Table5[[#This Row],[$PerTB]]/$D$108</f>
        <v>9.3994999999999997</v>
      </c>
      <c r="R68" s="10"/>
      <c r="S68" s="11">
        <f>((30/(1000/Table5[[#This Row],[Watts Active]]/24)*$D$107)+(30/(1000/Table5[[#This Row],[Watts Idle]]/24)*(100%-$D$107)))*$D$106*12</f>
        <v>8.8559999999999999</v>
      </c>
      <c r="T68" s="11">
        <f>Table5[[#This Row],[Energy$year]]/Table5[[#This Row],[SizTB]]</f>
        <v>2.214</v>
      </c>
    </row>
    <row r="69" spans="1:20">
      <c r="A69" s="1">
        <v>42808</v>
      </c>
      <c r="B69" t="s">
        <v>6</v>
      </c>
      <c r="C69" t="s">
        <v>5</v>
      </c>
      <c r="D69" s="56"/>
      <c r="E69">
        <v>7200</v>
      </c>
      <c r="F69" s="7">
        <v>5</v>
      </c>
      <c r="G69" s="2">
        <f>(Table5[[#This Row],[RPM]]/5400-1)</f>
        <v>0.33333333333333326</v>
      </c>
      <c r="H69">
        <v>5</v>
      </c>
      <c r="I69" s="29"/>
      <c r="J69" s="8">
        <v>10.6</v>
      </c>
      <c r="K69" s="8">
        <v>7.6</v>
      </c>
      <c r="L69" s="8">
        <v>1.6</v>
      </c>
      <c r="M69" s="19">
        <v>219.99</v>
      </c>
      <c r="N69" s="16">
        <f>Table5[[#This Row],[Cost]]/Table5[[#This Row],[SizTB]]</f>
        <v>43.998000000000005</v>
      </c>
      <c r="O69" s="17">
        <f>Table5[[#This Row],[Cost]]+(($E$108-Table5[[#This Row],[Warnty]])*($E$109*Table5[[#This Row],[Cost]]))</f>
        <v>219.99</v>
      </c>
      <c r="P69" s="9">
        <f>Table5[[#This Row],[$+Warr]]/Table5[[#This Row],[SizTB]]</f>
        <v>43.998000000000005</v>
      </c>
      <c r="Q69" s="16">
        <f>Table5[[#This Row],[$PerTB]]/$D$108</f>
        <v>8.7996000000000016</v>
      </c>
      <c r="R69" s="10"/>
      <c r="S69" s="11">
        <f>((30/(1000/Table5[[#This Row],[Watts Active]]/24)*$D$107)+(30/(1000/Table5[[#This Row],[Watts Idle]]/24)*(100%-$D$107)))*$D$106*12</f>
        <v>8.8559999999999999</v>
      </c>
      <c r="T69" s="11">
        <f>Table5[[#This Row],[Energy$year]]/Table5[[#This Row],[SizTB]]</f>
        <v>1.7711999999999999</v>
      </c>
    </row>
    <row r="70" spans="1:20">
      <c r="A70" s="1">
        <v>42833</v>
      </c>
      <c r="B70" t="s">
        <v>6</v>
      </c>
      <c r="C70" t="s">
        <v>5</v>
      </c>
      <c r="D70" s="56"/>
      <c r="E70">
        <v>7200</v>
      </c>
      <c r="F70" s="7">
        <v>6</v>
      </c>
      <c r="G70" s="2">
        <f>(Table5[[#This Row],[RPM]]/5400-1)</f>
        <v>0.33333333333333326</v>
      </c>
      <c r="H70">
        <v>5</v>
      </c>
      <c r="I70" s="29"/>
      <c r="J70" s="8">
        <v>10.6</v>
      </c>
      <c r="K70" s="8">
        <v>7.6</v>
      </c>
      <c r="L70" s="8">
        <v>1.6</v>
      </c>
      <c r="M70" s="19">
        <v>249.99</v>
      </c>
      <c r="N70" s="16">
        <f>Table5[[#This Row],[Cost]]/Table5[[#This Row],[SizTB]]</f>
        <v>41.664999999999999</v>
      </c>
      <c r="O70" s="17">
        <f>Table5[[#This Row],[Cost]]+(($E$108-Table5[[#This Row],[Warnty]])*($E$109*Table5[[#This Row],[Cost]]))</f>
        <v>249.99</v>
      </c>
      <c r="P70" s="9">
        <f>Table5[[#This Row],[$+Warr]]/Table5[[#This Row],[SizTB]]</f>
        <v>41.664999999999999</v>
      </c>
      <c r="Q70" s="16">
        <f>Table5[[#This Row],[$PerTB]]/$D$108</f>
        <v>8.3330000000000002</v>
      </c>
      <c r="R70" s="10"/>
      <c r="S70" s="11">
        <f>((30/(1000/Table5[[#This Row],[Watts Active]]/24)*$D$107)+(30/(1000/Table5[[#This Row],[Watts Idle]]/24)*(100%-$D$107)))*$D$106*12</f>
        <v>8.8559999999999999</v>
      </c>
      <c r="T70" s="11">
        <f>Table5[[#This Row],[Energy$year]]/Table5[[#This Row],[SizTB]]</f>
        <v>1.476</v>
      </c>
    </row>
    <row r="71" spans="1:20">
      <c r="A71" s="1">
        <v>42833</v>
      </c>
      <c r="B71" t="s">
        <v>6</v>
      </c>
      <c r="C71" t="s">
        <v>5</v>
      </c>
      <c r="D71" s="56"/>
      <c r="E71">
        <v>7200</v>
      </c>
      <c r="F71" s="7">
        <v>8</v>
      </c>
      <c r="G71" s="2">
        <f>(Table5[[#This Row],[RPM]]/5400-1)</f>
        <v>0.33333333333333326</v>
      </c>
      <c r="H71">
        <v>5</v>
      </c>
      <c r="I71" s="29"/>
      <c r="J71" s="8">
        <v>10.6</v>
      </c>
      <c r="K71" s="8">
        <v>7.6</v>
      </c>
      <c r="L71" s="8">
        <v>1.6</v>
      </c>
      <c r="M71" s="19">
        <v>329.99</v>
      </c>
      <c r="N71" s="16">
        <f>Table5[[#This Row],[Cost]]/Table5[[#This Row],[SizTB]]</f>
        <v>41.248750000000001</v>
      </c>
      <c r="O71" s="17">
        <f>Table5[[#This Row],[Cost]]+(($E$108-Table5[[#This Row],[Warnty]])*($E$109*Table5[[#This Row],[Cost]]))</f>
        <v>329.99</v>
      </c>
      <c r="P71" s="9">
        <f>Table5[[#This Row],[$+Warr]]/Table5[[#This Row],[SizTB]]</f>
        <v>41.248750000000001</v>
      </c>
      <c r="Q71" s="16">
        <f>Table5[[#This Row],[$PerTB]]/$D$108</f>
        <v>8.2497500000000006</v>
      </c>
      <c r="R71" s="10"/>
      <c r="S71" s="11">
        <f>((30/(1000/Table5[[#This Row],[Watts Active]]/24)*$D$107)+(30/(1000/Table5[[#This Row],[Watts Idle]]/24)*(100%-$D$107)))*$D$106*12</f>
        <v>8.8559999999999999</v>
      </c>
      <c r="T71" s="11">
        <f>Table5[[#This Row],[Energy$year]]/Table5[[#This Row],[SizTB]]</f>
        <v>1.107</v>
      </c>
    </row>
    <row r="72" spans="1:20">
      <c r="A72" s="1">
        <v>42829</v>
      </c>
      <c r="B72" t="s">
        <v>6</v>
      </c>
      <c r="C72" t="s">
        <v>35</v>
      </c>
      <c r="D72" s="56"/>
      <c r="E72">
        <v>7200</v>
      </c>
      <c r="F72" s="7">
        <v>1</v>
      </c>
      <c r="G72" s="2">
        <f>(Table5[[#This Row],[RPM]]/5400-1)</f>
        <v>0.33333333333333326</v>
      </c>
      <c r="H72">
        <v>2</v>
      </c>
      <c r="I72" s="29"/>
      <c r="J72" s="8"/>
      <c r="K72" s="8"/>
      <c r="L72" s="8"/>
      <c r="M72" s="19">
        <v>49.99</v>
      </c>
      <c r="N72" s="16">
        <f>Table5[[#This Row],[Cost]]/Table5[[#This Row],[SizTB]]</f>
        <v>49.99</v>
      </c>
      <c r="O72" s="17">
        <f>Table5[[#This Row],[Cost]]+(($E$108-Table5[[#This Row],[Warnty]])*($E$109*Table5[[#This Row],[Cost]]))</f>
        <v>49.99</v>
      </c>
      <c r="P72" s="9">
        <f>Table5[[#This Row],[$+Warr]]/Table5[[#This Row],[SizTB]]</f>
        <v>49.99</v>
      </c>
      <c r="Q72" s="16">
        <f>Table5[[#This Row],[$PerTB]]/$D$108</f>
        <v>9.9980000000000011</v>
      </c>
      <c r="R72" s="10"/>
      <c r="S72" s="11"/>
      <c r="T72" s="11"/>
    </row>
    <row r="73" spans="1:20">
      <c r="A73" s="1">
        <v>42846</v>
      </c>
      <c r="B73" t="s">
        <v>6</v>
      </c>
      <c r="C73" t="s">
        <v>35</v>
      </c>
      <c r="D73" s="56"/>
      <c r="E73">
        <v>5400</v>
      </c>
      <c r="F73" s="7">
        <v>2</v>
      </c>
      <c r="G73" s="2">
        <f>(Table5[[#This Row],[RPM]]/5400-1)</f>
        <v>0</v>
      </c>
      <c r="H73">
        <v>2</v>
      </c>
      <c r="I73" s="29"/>
      <c r="J73" s="8"/>
      <c r="K73" s="8"/>
      <c r="L73" s="8"/>
      <c r="M73" s="19">
        <v>64.989999999999995</v>
      </c>
      <c r="N73" s="16">
        <f>Table5[[#This Row],[Cost]]/Table5[[#This Row],[SizTB]]</f>
        <v>32.494999999999997</v>
      </c>
      <c r="O73" s="17">
        <f>Table5[[#This Row],[Cost]]+(($E$108-Table5[[#This Row],[Warnty]])*($E$109*Table5[[#This Row],[Cost]]))</f>
        <v>64.989999999999995</v>
      </c>
      <c r="P73" s="9">
        <f>Table5[[#This Row],[$+Warr]]/Table5[[#This Row],[SizTB]]</f>
        <v>32.494999999999997</v>
      </c>
      <c r="Q73" s="16">
        <f>Table5[[#This Row],[$PerTB]]/$D$108</f>
        <v>6.4989999999999997</v>
      </c>
      <c r="R73" s="10"/>
      <c r="S73" s="11"/>
      <c r="T73" s="11"/>
    </row>
    <row r="74" spans="1:20">
      <c r="A74" s="1">
        <v>42829</v>
      </c>
      <c r="B74" t="s">
        <v>6</v>
      </c>
      <c r="C74" t="s">
        <v>35</v>
      </c>
      <c r="D74" s="56"/>
      <c r="E74">
        <v>5400</v>
      </c>
      <c r="F74" s="7">
        <v>3</v>
      </c>
      <c r="G74" s="2">
        <f>(Table5[[#This Row],[RPM]]/5400-1)</f>
        <v>0</v>
      </c>
      <c r="H74">
        <v>2</v>
      </c>
      <c r="I74" s="29"/>
      <c r="J74" s="8"/>
      <c r="K74" s="8"/>
      <c r="L74" s="8"/>
      <c r="M74" s="19">
        <v>91.99</v>
      </c>
      <c r="N74" s="16">
        <f>Table5[[#This Row],[Cost]]/Table5[[#This Row],[SizTB]]</f>
        <v>30.66333333333333</v>
      </c>
      <c r="O74" s="17">
        <f>Table5[[#This Row],[Cost]]+(($E$108-Table5[[#This Row],[Warnty]])*($E$109*Table5[[#This Row],[Cost]]))</f>
        <v>91.99</v>
      </c>
      <c r="P74" s="9">
        <f>Table5[[#This Row],[$+Warr]]/Table5[[#This Row],[SizTB]]</f>
        <v>30.66333333333333</v>
      </c>
      <c r="Q74" s="16">
        <f>Table5[[#This Row],[$PerTB]]/$D$108</f>
        <v>6.1326666666666663</v>
      </c>
      <c r="R74" s="10"/>
      <c r="S74" s="11"/>
      <c r="T74" s="11"/>
    </row>
    <row r="75" spans="1:20">
      <c r="A75" s="1">
        <v>42852</v>
      </c>
      <c r="B75" t="s">
        <v>6</v>
      </c>
      <c r="C75" t="s">
        <v>35</v>
      </c>
      <c r="D75" s="56"/>
      <c r="E75">
        <v>5400</v>
      </c>
      <c r="F75" s="7">
        <v>4</v>
      </c>
      <c r="G75" s="2">
        <f>(Table5[[#This Row],[RPM]]/5400-1)</f>
        <v>0</v>
      </c>
      <c r="H75">
        <v>2</v>
      </c>
      <c r="I75" s="29"/>
      <c r="J75" s="8"/>
      <c r="K75" s="8"/>
      <c r="L75" s="8"/>
      <c r="M75" s="19">
        <v>112.99</v>
      </c>
      <c r="N75" s="16">
        <f>Table5[[#This Row],[Cost]]/Table5[[#This Row],[SizTB]]</f>
        <v>28.247499999999999</v>
      </c>
      <c r="O75" s="17">
        <f>Table5[[#This Row],[Cost]]+(($E$108-Table5[[#This Row],[Warnty]])*($E$109*Table5[[#This Row],[Cost]]))</f>
        <v>112.99</v>
      </c>
      <c r="P75" s="9">
        <f>Table5[[#This Row],[$+Warr]]/Table5[[#This Row],[SizTB]]</f>
        <v>28.247499999999999</v>
      </c>
      <c r="Q75" s="16">
        <f>Table5[[#This Row],[$PerTB]]/$D$108</f>
        <v>5.6494999999999997</v>
      </c>
      <c r="R75" s="10"/>
      <c r="S75" s="11"/>
      <c r="T75" s="11"/>
    </row>
    <row r="76" spans="1:20">
      <c r="A76" s="1">
        <v>42829</v>
      </c>
      <c r="B76" t="s">
        <v>6</v>
      </c>
      <c r="C76" t="s">
        <v>35</v>
      </c>
      <c r="D76" s="56"/>
      <c r="E76">
        <v>5400</v>
      </c>
      <c r="F76" s="7">
        <v>5</v>
      </c>
      <c r="G76" s="2">
        <f>(Table5[[#This Row],[RPM]]/5400-1)</f>
        <v>0</v>
      </c>
      <c r="H76">
        <v>2</v>
      </c>
      <c r="I76" s="29"/>
      <c r="J76" s="8"/>
      <c r="K76" s="8"/>
      <c r="L76" s="8"/>
      <c r="M76" s="19">
        <v>235.89</v>
      </c>
      <c r="N76" s="16">
        <f>Table5[[#This Row],[Cost]]/Table5[[#This Row],[SizTB]]</f>
        <v>47.177999999999997</v>
      </c>
      <c r="O76" s="17">
        <f>Table5[[#This Row],[Cost]]+(($E$108-Table5[[#This Row],[Warnty]])*($E$109*Table5[[#This Row],[Cost]]))</f>
        <v>235.89</v>
      </c>
      <c r="P76" s="9">
        <f>Table5[[#This Row],[$+Warr]]/Table5[[#This Row],[SizTB]]</f>
        <v>47.177999999999997</v>
      </c>
      <c r="Q76" s="16">
        <f>Table5[[#This Row],[$PerTB]]/$D$108</f>
        <v>9.4355999999999991</v>
      </c>
      <c r="R76" s="10"/>
      <c r="S76" s="11"/>
      <c r="T76" s="11"/>
    </row>
    <row r="77" spans="1:20">
      <c r="A77" s="1">
        <v>42829</v>
      </c>
      <c r="B77" t="s">
        <v>6</v>
      </c>
      <c r="C77" t="s">
        <v>35</v>
      </c>
      <c r="D77" s="56"/>
      <c r="E77">
        <v>5400</v>
      </c>
      <c r="F77" s="7">
        <v>6</v>
      </c>
      <c r="G77" s="2">
        <f>(Table5[[#This Row],[RPM]]/5400-1)</f>
        <v>0</v>
      </c>
      <c r="H77">
        <v>2</v>
      </c>
      <c r="I77" s="29"/>
      <c r="J77" s="8"/>
      <c r="K77" s="8"/>
      <c r="L77" s="8"/>
      <c r="M77" s="19">
        <f>172.01+19.99</f>
        <v>192</v>
      </c>
      <c r="N77" s="16">
        <f>Table5[[#This Row],[Cost]]/Table5[[#This Row],[SizTB]]</f>
        <v>32</v>
      </c>
      <c r="O77" s="17">
        <f>Table5[[#This Row],[Cost]]+(($E$108-Table5[[#This Row],[Warnty]])*($E$109*Table5[[#This Row],[Cost]]))</f>
        <v>192</v>
      </c>
      <c r="P77" s="9">
        <f>Table5[[#This Row],[$+Warr]]/Table5[[#This Row],[SizTB]]</f>
        <v>32</v>
      </c>
      <c r="Q77" s="16">
        <f>Table5[[#This Row],[$PerTB]]/$D$108</f>
        <v>6.4</v>
      </c>
      <c r="R77" s="10"/>
      <c r="S77" s="11"/>
      <c r="T77" s="11"/>
    </row>
    <row r="78" spans="1:20">
      <c r="A78" s="1">
        <v>42884</v>
      </c>
      <c r="B78" t="s">
        <v>6</v>
      </c>
      <c r="C78" t="s">
        <v>57</v>
      </c>
      <c r="D78" s="56" t="s">
        <v>69</v>
      </c>
      <c r="E78">
        <v>7200</v>
      </c>
      <c r="F78" s="7">
        <v>1</v>
      </c>
      <c r="G78" s="2">
        <f>(Table5[[#This Row],[RPM]]/5400-1)</f>
        <v>0.33333333333333326</v>
      </c>
      <c r="H78">
        <v>5</v>
      </c>
      <c r="I78" s="29"/>
      <c r="J78" s="8">
        <v>8.1</v>
      </c>
      <c r="K78" s="8">
        <v>5.9</v>
      </c>
      <c r="L78" s="8"/>
      <c r="M78" s="19">
        <v>86.99</v>
      </c>
      <c r="N78" s="16">
        <f>Table5[[#This Row],[Cost]]/Table5[[#This Row],[SizTB]]</f>
        <v>86.99</v>
      </c>
      <c r="O78" s="17">
        <f>Table5[[#This Row],[Cost]]+(($E$108-Table5[[#This Row],[Warnty]])*($E$109*Table5[[#This Row],[Cost]]))</f>
        <v>86.99</v>
      </c>
      <c r="P78" s="9">
        <f>Table5[[#This Row],[$+Warr]]/Table5[[#This Row],[SizTB]]</f>
        <v>86.99</v>
      </c>
      <c r="Q78" s="16">
        <f>Table5[[#This Row],[$PerTB]]/$D$108</f>
        <v>17.398</v>
      </c>
      <c r="R78" s="10"/>
      <c r="S78" s="11">
        <f>((30/(1000/Table5[[#This Row],[Watts Active]]/24)*$D$107)+(30/(1000/Table5[[#This Row],[Watts Idle]]/24)*(100%-$D$107)))*$D$106*12</f>
        <v>6.8472000000000008</v>
      </c>
      <c r="T78" s="11">
        <f>Table5[[#This Row],[Energy$year]]/Table5[[#This Row],[SizTB]]</f>
        <v>6.8472000000000008</v>
      </c>
    </row>
    <row r="79" spans="1:20">
      <c r="A79" s="1">
        <v>42884</v>
      </c>
      <c r="B79" t="s">
        <v>6</v>
      </c>
      <c r="C79" t="s">
        <v>57</v>
      </c>
      <c r="D79" s="56" t="s">
        <v>69</v>
      </c>
      <c r="E79">
        <v>7200</v>
      </c>
      <c r="F79" s="7">
        <v>2</v>
      </c>
      <c r="G79" s="2">
        <f>(Table5[[#This Row],[RPM]]/5400-1)</f>
        <v>0.33333333333333326</v>
      </c>
      <c r="H79">
        <v>5</v>
      </c>
      <c r="I79" s="29"/>
      <c r="J79" s="8">
        <v>8.11</v>
      </c>
      <c r="K79" s="8">
        <v>5.9</v>
      </c>
      <c r="L79" s="8"/>
      <c r="M79" s="19">
        <v>134.99</v>
      </c>
      <c r="N79" s="16">
        <f>Table5[[#This Row],[Cost]]/Table5[[#This Row],[SizTB]]</f>
        <v>67.495000000000005</v>
      </c>
      <c r="O79" s="17">
        <f>Table5[[#This Row],[Cost]]+(($E$108-Table5[[#This Row],[Warnty]])*($E$109*Table5[[#This Row],[Cost]]))</f>
        <v>134.99</v>
      </c>
      <c r="P79" s="9">
        <f>Table5[[#This Row],[$+Warr]]/Table5[[#This Row],[SizTB]]</f>
        <v>67.495000000000005</v>
      </c>
      <c r="Q79" s="16">
        <f>Table5[[#This Row],[$PerTB]]/$D$108</f>
        <v>13.499000000000001</v>
      </c>
      <c r="R79" s="10"/>
      <c r="S79" s="11">
        <f>((30/(1000/Table5[[#This Row],[Watts Active]]/24)*$D$107)+(30/(1000/Table5[[#This Row],[Watts Idle]]/24)*(100%-$D$107)))*$D$106*12</f>
        <v>6.8493600000000008</v>
      </c>
      <c r="T79" s="11">
        <f>Table5[[#This Row],[Energy$year]]/Table5[[#This Row],[SizTB]]</f>
        <v>3.4246800000000004</v>
      </c>
    </row>
    <row r="80" spans="1:20">
      <c r="A80" s="1">
        <v>42895</v>
      </c>
      <c r="B80" t="s">
        <v>6</v>
      </c>
      <c r="C80" t="s">
        <v>57</v>
      </c>
      <c r="D80" s="56" t="s">
        <v>69</v>
      </c>
      <c r="E80">
        <v>7200</v>
      </c>
      <c r="F80" s="7">
        <v>4</v>
      </c>
      <c r="G80" s="2">
        <f>(Table5[[#This Row],[RPM]]/5400-1)</f>
        <v>0.33333333333333326</v>
      </c>
      <c r="H80">
        <v>5</v>
      </c>
      <c r="I80" s="29"/>
      <c r="J80" s="8">
        <v>9</v>
      </c>
      <c r="K80" s="8">
        <v>7</v>
      </c>
      <c r="L80" s="8"/>
      <c r="M80" s="19">
        <v>187.99</v>
      </c>
      <c r="N80" s="16">
        <f>Table5[[#This Row],[Cost]]/Table5[[#This Row],[SizTB]]</f>
        <v>46.997500000000002</v>
      </c>
      <c r="O80" s="17">
        <f>Table5[[#This Row],[Cost]]+(($E$108-Table5[[#This Row],[Warnty]])*($E$109*Table5[[#This Row],[Cost]]))</f>
        <v>187.99</v>
      </c>
      <c r="P80" s="9">
        <f>Table5[[#This Row],[$+Warr]]/Table5[[#This Row],[SizTB]]</f>
        <v>46.997500000000002</v>
      </c>
      <c r="Q80" s="16">
        <f>Table5[[#This Row],[$PerTB]]/$D$108</f>
        <v>9.3994999999999997</v>
      </c>
      <c r="R80" s="10"/>
      <c r="S80" s="11">
        <f>((30/(1000/Table5[[#This Row],[Watts Active]]/24)*$D$107)+(30/(1000/Table5[[#This Row],[Watts Idle]]/24)*(100%-$D$107)))*$D$106*12</f>
        <v>7.9920000000000009</v>
      </c>
      <c r="T80" s="11">
        <f>Table5[[#This Row],[Energy$year]]/Table5[[#This Row],[SizTB]]</f>
        <v>1.9980000000000002</v>
      </c>
    </row>
    <row r="81" spans="1:21">
      <c r="A81" s="1">
        <v>42846</v>
      </c>
      <c r="B81" t="s">
        <v>6</v>
      </c>
      <c r="C81" t="s">
        <v>57</v>
      </c>
      <c r="D81" s="56" t="s">
        <v>69</v>
      </c>
      <c r="E81">
        <v>7200</v>
      </c>
      <c r="F81" s="7">
        <v>6</v>
      </c>
      <c r="G81" s="2">
        <f>(Table5[[#This Row],[RPM]]/5400-1)</f>
        <v>0.33333333333333326</v>
      </c>
      <c r="H81">
        <v>5</v>
      </c>
      <c r="I81" s="29"/>
      <c r="J81" s="8">
        <v>9.3000000000000007</v>
      </c>
      <c r="K81" s="8">
        <v>7.1</v>
      </c>
      <c r="L81" s="8"/>
      <c r="M81" s="19">
        <v>269.99</v>
      </c>
      <c r="N81" s="16">
        <f>Table5[[#This Row],[Cost]]/Table5[[#This Row],[SizTB]]</f>
        <v>44.998333333333335</v>
      </c>
      <c r="O81" s="17">
        <f>Table5[[#This Row],[Cost]]+(($E$108-Table5[[#This Row],[Warnty]])*($E$109*Table5[[#This Row],[Cost]]))</f>
        <v>269.99</v>
      </c>
      <c r="P81" s="9">
        <f>Table5[[#This Row],[$+Warr]]/Table5[[#This Row],[SizTB]]</f>
        <v>44.998333333333335</v>
      </c>
      <c r="Q81" s="16">
        <f>Table5[[#This Row],[$PerTB]]/$D$108</f>
        <v>8.9996666666666663</v>
      </c>
      <c r="R81" s="10"/>
      <c r="S81" s="11">
        <f>((30/(1000/Table5[[#This Row],[Watts Active]]/24)*$D$107)+(30/(1000/Table5[[#This Row],[Watts Idle]]/24)*(100%-$D$107)))*$D$106*12</f>
        <v>8.1432000000000002</v>
      </c>
      <c r="T81" s="11">
        <f>Table5[[#This Row],[Energy$year]]/Table5[[#This Row],[SizTB]]</f>
        <v>1.3572</v>
      </c>
      <c r="U81" t="s">
        <v>49</v>
      </c>
    </row>
    <row r="82" spans="1:21">
      <c r="A82" s="1">
        <v>42884</v>
      </c>
      <c r="B82" t="s">
        <v>6</v>
      </c>
      <c r="C82" t="s">
        <v>57</v>
      </c>
      <c r="D82" s="56" t="s">
        <v>69</v>
      </c>
      <c r="E82">
        <v>7200</v>
      </c>
      <c r="F82" s="7">
        <v>8</v>
      </c>
      <c r="G82" s="2">
        <f>(Table5[[#This Row],[RPM]]/5400-1)</f>
        <v>0.33333333333333326</v>
      </c>
      <c r="H82">
        <v>5</v>
      </c>
      <c r="I82" s="29"/>
      <c r="J82" s="8">
        <v>7.4</v>
      </c>
      <c r="K82" s="8">
        <v>5.0999999999999996</v>
      </c>
      <c r="L82" s="8"/>
      <c r="M82" s="19">
        <v>379.99</v>
      </c>
      <c r="N82" s="16">
        <f>Table5[[#This Row],[Cost]]/Table5[[#This Row],[SizTB]]</f>
        <v>47.498750000000001</v>
      </c>
      <c r="O82" s="17">
        <f>Table5[[#This Row],[Cost]]+(($E$108-Table5[[#This Row],[Warnty]])*($E$109*Table5[[#This Row],[Cost]]))</f>
        <v>379.99</v>
      </c>
      <c r="P82" s="9">
        <f>Table5[[#This Row],[$+Warr]]/Table5[[#This Row],[SizTB]]</f>
        <v>47.498750000000001</v>
      </c>
      <c r="Q82" s="16">
        <f>Table5[[#This Row],[$PerTB]]/$D$108</f>
        <v>9.4997500000000006</v>
      </c>
      <c r="R82" s="10"/>
      <c r="S82" s="11">
        <f>((30/(1000/Table5[[#This Row],[Watts Active]]/24)*$D$107)+(30/(1000/Table5[[#This Row],[Watts Idle]]/24)*(100%-$D$107)))*$D$106*12</f>
        <v>6.0047999999999995</v>
      </c>
      <c r="T82" s="11">
        <f>Table5[[#This Row],[Energy$year]]/Table5[[#This Row],[SizTB]]</f>
        <v>0.75059999999999993</v>
      </c>
      <c r="U82" t="s">
        <v>50</v>
      </c>
    </row>
    <row r="83" spans="1:21">
      <c r="A83" s="1">
        <v>42884</v>
      </c>
      <c r="B83" t="s">
        <v>6</v>
      </c>
      <c r="C83" t="s">
        <v>57</v>
      </c>
      <c r="D83" s="56" t="s">
        <v>69</v>
      </c>
      <c r="E83">
        <v>7200</v>
      </c>
      <c r="F83" s="7">
        <v>10</v>
      </c>
      <c r="G83" s="2">
        <f>(Table5[[#This Row],[RPM]]/5400-1)</f>
        <v>0.33333333333333326</v>
      </c>
      <c r="H83">
        <v>5</v>
      </c>
      <c r="I83" s="29"/>
      <c r="J83" s="8">
        <v>7.1</v>
      </c>
      <c r="K83" s="8">
        <v>5</v>
      </c>
      <c r="L83" s="8"/>
      <c r="M83" s="19">
        <v>469.99</v>
      </c>
      <c r="N83" s="16">
        <f>Table5[[#This Row],[Cost]]/Table5[[#This Row],[SizTB]]</f>
        <v>46.999000000000002</v>
      </c>
      <c r="O83" s="17">
        <f>Table5[[#This Row],[Cost]]+(($E$108-Table5[[#This Row],[Warnty]])*($E$109*Table5[[#This Row],[Cost]]))</f>
        <v>469.99</v>
      </c>
      <c r="P83" s="9">
        <f>Table5[[#This Row],[$+Warr]]/Table5[[#This Row],[SizTB]]</f>
        <v>46.999000000000002</v>
      </c>
      <c r="Q83" s="16">
        <f>Table5[[#This Row],[$PerTB]]/$D$108</f>
        <v>9.3998000000000008</v>
      </c>
      <c r="R83" s="10"/>
      <c r="S83" s="11">
        <f>((30/(1000/Table5[[#This Row],[Watts Active]]/24)*$D$107)+(30/(1000/Table5[[#This Row],[Watts Idle]]/24)*(100%-$D$107)))*$D$106*12</f>
        <v>5.8536000000000001</v>
      </c>
      <c r="T83" s="11">
        <f>Table5[[#This Row],[Energy$year]]/Table5[[#This Row],[SizTB]]</f>
        <v>0.58535999999999999</v>
      </c>
      <c r="U83" t="s">
        <v>50</v>
      </c>
    </row>
    <row r="84" spans="1:21">
      <c r="A84" s="1">
        <v>42888</v>
      </c>
      <c r="B84" t="s">
        <v>6</v>
      </c>
      <c r="C84" t="s">
        <v>10</v>
      </c>
      <c r="D84" s="56" t="s">
        <v>69</v>
      </c>
      <c r="E84">
        <v>5400</v>
      </c>
      <c r="F84" s="7">
        <v>1</v>
      </c>
      <c r="G84" s="2">
        <f>(Table5[[#This Row],[RPM]]/5400-1)</f>
        <v>0</v>
      </c>
      <c r="H84">
        <v>3</v>
      </c>
      <c r="I84" s="29">
        <f>12*1.2</f>
        <v>14.399999999999999</v>
      </c>
      <c r="J84" s="8">
        <v>3.3</v>
      </c>
      <c r="K84" s="8">
        <v>2.2999999999999998</v>
      </c>
      <c r="L84" s="8">
        <v>0.4</v>
      </c>
      <c r="M84" s="19">
        <v>62.49</v>
      </c>
      <c r="N84" s="16">
        <f>Table5[[#This Row],[Cost]]/Table5[[#This Row],[SizTB]]</f>
        <v>62.49</v>
      </c>
      <c r="O84" s="17">
        <f>Table5[[#This Row],[Cost]]+(($E$108-Table5[[#This Row],[Warnty]])*($E$109*Table5[[#This Row],[Cost]]))</f>
        <v>62.49</v>
      </c>
      <c r="P84" s="9">
        <f>Table5[[#This Row],[$+Warr]]/Table5[[#This Row],[SizTB]]</f>
        <v>62.49</v>
      </c>
      <c r="Q84" s="16">
        <f>Table5[[#This Row],[$PerTB]]/$D$108</f>
        <v>12.498000000000001</v>
      </c>
      <c r="R84" s="10"/>
      <c r="S84" s="11">
        <f>((30/(1000/Table5[[#This Row],[Watts Active]]/24)*$D$107)+(30/(1000/Table5[[#This Row],[Watts Idle]]/24)*(100%-$D$107)))*$D$106*12</f>
        <v>2.6999999999999997</v>
      </c>
      <c r="T84" s="11">
        <f>Table5[[#This Row],[Energy$year]]/Table5[[#This Row],[SizTB]]</f>
        <v>2.6999999999999997</v>
      </c>
    </row>
    <row r="85" spans="1:21">
      <c r="A85" s="1">
        <v>42887</v>
      </c>
      <c r="B85" t="s">
        <v>6</v>
      </c>
      <c r="C85" t="s">
        <v>10</v>
      </c>
      <c r="D85" s="56" t="s">
        <v>69</v>
      </c>
      <c r="E85">
        <v>5400</v>
      </c>
      <c r="F85" s="7">
        <v>2</v>
      </c>
      <c r="G85" s="2">
        <f>(Table5[[#This Row],[RPM]]/5400-1)</f>
        <v>0</v>
      </c>
      <c r="H85">
        <v>3</v>
      </c>
      <c r="I85" s="29">
        <f>12*1.73</f>
        <v>20.759999999999998</v>
      </c>
      <c r="J85" s="8">
        <v>4.0999999999999996</v>
      </c>
      <c r="K85" s="8">
        <v>2.7</v>
      </c>
      <c r="L85" s="8">
        <v>0.4</v>
      </c>
      <c r="M85" s="19">
        <v>79.989999999999995</v>
      </c>
      <c r="N85" s="16">
        <f>Table5[[#This Row],[Cost]]/Table5[[#This Row],[SizTB]]</f>
        <v>39.994999999999997</v>
      </c>
      <c r="O85" s="17">
        <f>Table5[[#This Row],[Cost]]+(($E$108-Table5[[#This Row],[Warnty]])*($E$109*Table5[[#This Row],[Cost]]))</f>
        <v>79.989999999999995</v>
      </c>
      <c r="P85" s="9">
        <f>Table5[[#This Row],[$+Warr]]/Table5[[#This Row],[SizTB]]</f>
        <v>39.994999999999997</v>
      </c>
      <c r="Q85" s="16">
        <f>Table5[[#This Row],[$PerTB]]/$D$108</f>
        <v>7.9989999999999997</v>
      </c>
      <c r="R85" s="10"/>
      <c r="S85" s="11">
        <f>((30/(1000/Table5[[#This Row],[Watts Active]]/24)*$D$107)+(30/(1000/Table5[[#This Row],[Watts Idle]]/24)*(100%-$D$107)))*$D$106*12</f>
        <v>3.2184000000000008</v>
      </c>
      <c r="T85" s="11">
        <f>Table5[[#This Row],[Energy$year]]/Table5[[#This Row],[SizTB]]</f>
        <v>1.6092000000000004</v>
      </c>
    </row>
    <row r="86" spans="1:21">
      <c r="A86" s="1">
        <v>42944</v>
      </c>
      <c r="B86" t="s">
        <v>6</v>
      </c>
      <c r="C86" t="s">
        <v>10</v>
      </c>
      <c r="D86" s="56" t="s">
        <v>69</v>
      </c>
      <c r="E86">
        <v>5400</v>
      </c>
      <c r="F86" s="7">
        <v>3</v>
      </c>
      <c r="G86" s="2">
        <f>(Table5[[#This Row],[RPM]]/5400-1)</f>
        <v>0</v>
      </c>
      <c r="H86">
        <v>3</v>
      </c>
      <c r="I86" s="29">
        <f>12*1.73</f>
        <v>20.759999999999998</v>
      </c>
      <c r="J86" s="8">
        <v>4.0999999999999996</v>
      </c>
      <c r="K86" s="8">
        <v>2.7</v>
      </c>
      <c r="L86" s="8">
        <v>0.4</v>
      </c>
      <c r="M86" s="19">
        <v>99.99</v>
      </c>
      <c r="N86" s="16">
        <f>Table5[[#This Row],[Cost]]/Table5[[#This Row],[SizTB]]</f>
        <v>33.33</v>
      </c>
      <c r="O86" s="17">
        <f>Table5[[#This Row],[Cost]]+(($E$108-Table5[[#This Row],[Warnty]])*($E$109*Table5[[#This Row],[Cost]]))</f>
        <v>99.99</v>
      </c>
      <c r="P86" s="9">
        <f>Table5[[#This Row],[$+Warr]]/Table5[[#This Row],[SizTB]]</f>
        <v>33.33</v>
      </c>
      <c r="Q86" s="16">
        <f>Table5[[#This Row],[$PerTB]]/$D$108</f>
        <v>6.6659999999999995</v>
      </c>
      <c r="R86" s="10"/>
      <c r="S86" s="11">
        <f>((30/(1000/Table5[[#This Row],[Watts Active]]/24)*$D$107)+(30/(1000/Table5[[#This Row],[Watts Idle]]/24)*(100%-$D$107)))*$D$106*12</f>
        <v>3.2184000000000008</v>
      </c>
      <c r="T86" s="11">
        <f>Table5[[#This Row],[Energy$year]]/Table5[[#This Row],[SizTB]]</f>
        <v>1.0728000000000002</v>
      </c>
    </row>
    <row r="87" spans="1:21">
      <c r="A87" s="1">
        <v>42887</v>
      </c>
      <c r="B87" t="s">
        <v>6</v>
      </c>
      <c r="C87" t="s">
        <v>10</v>
      </c>
      <c r="D87" s="56" t="s">
        <v>69</v>
      </c>
      <c r="E87">
        <v>5400</v>
      </c>
      <c r="F87" s="7">
        <v>4</v>
      </c>
      <c r="G87" s="2">
        <f>(Table5[[#This Row],[RPM]]/5400-1)</f>
        <v>0</v>
      </c>
      <c r="H87">
        <v>3</v>
      </c>
      <c r="I87" s="29">
        <f>12*1.75</f>
        <v>21</v>
      </c>
      <c r="J87" s="8">
        <v>4.5</v>
      </c>
      <c r="K87" s="8">
        <v>3.3</v>
      </c>
      <c r="L87" s="8">
        <v>0.4</v>
      </c>
      <c r="M87" s="19">
        <v>129.99</v>
      </c>
      <c r="N87" s="16">
        <f>Table5[[#This Row],[Cost]]/Table5[[#This Row],[SizTB]]</f>
        <v>32.497500000000002</v>
      </c>
      <c r="O87" s="17">
        <f>Table5[[#This Row],[Cost]]+(($E$108-Table5[[#This Row],[Warnty]])*($E$109*Table5[[#This Row],[Cost]]))</f>
        <v>129.99</v>
      </c>
      <c r="P87" s="9">
        <f>Table5[[#This Row],[$+Warr]]/Table5[[#This Row],[SizTB]]</f>
        <v>32.497500000000002</v>
      </c>
      <c r="Q87" s="16">
        <f>Table5[[#This Row],[$PerTB]]/$D$108</f>
        <v>6.4995000000000003</v>
      </c>
      <c r="R87" s="10"/>
      <c r="S87" s="11">
        <f>((30/(1000/Table5[[#This Row],[Watts Active]]/24)*$D$107)+(30/(1000/Table5[[#This Row],[Watts Idle]]/24)*(100%-$D$107)))*$D$106*12</f>
        <v>3.823199999999999</v>
      </c>
      <c r="T87" s="11">
        <f>Table5[[#This Row],[Energy$year]]/Table5[[#This Row],[SizTB]]</f>
        <v>0.95579999999999976</v>
      </c>
    </row>
    <row r="88" spans="1:21">
      <c r="A88" s="1">
        <v>42842</v>
      </c>
      <c r="B88" t="s">
        <v>6</v>
      </c>
      <c r="C88" t="s">
        <v>10</v>
      </c>
      <c r="D88" s="56" t="s">
        <v>69</v>
      </c>
      <c r="E88">
        <v>5400</v>
      </c>
      <c r="F88" s="7">
        <v>5</v>
      </c>
      <c r="G88" s="2">
        <f>(Table5[[#This Row],[RPM]]/5400-1)</f>
        <v>0</v>
      </c>
      <c r="H88">
        <v>3</v>
      </c>
      <c r="I88" s="29">
        <f>12*1.75</f>
        <v>21</v>
      </c>
      <c r="J88" s="8">
        <v>5.3</v>
      </c>
      <c r="K88" s="8">
        <v>3.4</v>
      </c>
      <c r="L88" s="8">
        <v>0.4</v>
      </c>
      <c r="M88" s="19">
        <v>281.86</v>
      </c>
      <c r="N88" s="16">
        <f>Table5[[#This Row],[Cost]]/Table5[[#This Row],[SizTB]]</f>
        <v>56.372</v>
      </c>
      <c r="O88" s="17">
        <f>Table5[[#This Row],[Cost]]+(($E$108-Table5[[#This Row],[Warnty]])*($E$109*Table5[[#This Row],[Cost]]))</f>
        <v>281.86</v>
      </c>
      <c r="P88" s="9">
        <f>Table5[[#This Row],[$+Warr]]/Table5[[#This Row],[SizTB]]</f>
        <v>56.372</v>
      </c>
      <c r="Q88" s="16">
        <f>Table5[[#This Row],[$PerTB]]/$D$108</f>
        <v>11.2744</v>
      </c>
      <c r="R88" s="10"/>
      <c r="S88" s="11">
        <f>((30/(1000/Table5[[#This Row],[Watts Active]]/24)*$D$107)+(30/(1000/Table5[[#This Row],[Watts Idle]]/24)*(100%-$D$107)))*$D$106*12</f>
        <v>4.0823999999999998</v>
      </c>
      <c r="T88" s="11">
        <f>Table5[[#This Row],[Energy$year]]/Table5[[#This Row],[SizTB]]</f>
        <v>0.81647999999999998</v>
      </c>
    </row>
    <row r="89" spans="1:21">
      <c r="A89" s="1">
        <v>42884</v>
      </c>
      <c r="B89" t="s">
        <v>6</v>
      </c>
      <c r="C89" t="s">
        <v>10</v>
      </c>
      <c r="D89" s="56" t="s">
        <v>69</v>
      </c>
      <c r="E89">
        <v>5400</v>
      </c>
      <c r="F89" s="7">
        <v>6</v>
      </c>
      <c r="G89" s="2">
        <f>(Table5[[#This Row],[RPM]]/5400-1)</f>
        <v>0</v>
      </c>
      <c r="H89">
        <v>3</v>
      </c>
      <c r="I89" s="29">
        <f>12*1.75</f>
        <v>21</v>
      </c>
      <c r="J89" s="8">
        <v>5.3</v>
      </c>
      <c r="K89" s="8">
        <v>3.4</v>
      </c>
      <c r="L89" s="8">
        <v>0.4</v>
      </c>
      <c r="M89" s="19">
        <v>199.99</v>
      </c>
      <c r="N89" s="16">
        <f>Table5[[#This Row],[Cost]]/Table5[[#This Row],[SizTB]]</f>
        <v>33.331666666666671</v>
      </c>
      <c r="O89" s="17">
        <f>Table5[[#This Row],[Cost]]+(($E$108-Table5[[#This Row],[Warnty]])*($E$109*Table5[[#This Row],[Cost]]))</f>
        <v>199.99</v>
      </c>
      <c r="P89" s="9">
        <f>Table5[[#This Row],[$+Warr]]/Table5[[#This Row],[SizTB]]</f>
        <v>33.331666666666671</v>
      </c>
      <c r="Q89" s="16">
        <f>Table5[[#This Row],[$PerTB]]/$D$108</f>
        <v>6.6663333333333341</v>
      </c>
      <c r="R89" s="10"/>
      <c r="S89" s="11">
        <f>((30/(1000/Table5[[#This Row],[Watts Active]]/24)*$D$107)+(30/(1000/Table5[[#This Row],[Watts Idle]]/24)*(100%-$D$107)))*$D$106*12</f>
        <v>4.0823999999999998</v>
      </c>
      <c r="T89" s="11">
        <f>Table5[[#This Row],[Energy$year]]/Table5[[#This Row],[SizTB]]</f>
        <v>0.6804</v>
      </c>
    </row>
    <row r="90" spans="1:21">
      <c r="A90" s="1">
        <v>42946</v>
      </c>
      <c r="B90" t="s">
        <v>6</v>
      </c>
      <c r="C90" t="s">
        <v>10</v>
      </c>
      <c r="D90" s="56" t="s">
        <v>69</v>
      </c>
      <c r="E90">
        <v>5400</v>
      </c>
      <c r="F90" s="7">
        <v>8</v>
      </c>
      <c r="G90" s="2">
        <f>(Table5[[#This Row],[RPM]]/5400-1)</f>
        <v>0</v>
      </c>
      <c r="H90">
        <v>3</v>
      </c>
      <c r="I90" s="29">
        <f>12*1.79</f>
        <v>21.48</v>
      </c>
      <c r="J90" s="8">
        <v>6.4</v>
      </c>
      <c r="K90" s="8">
        <v>5.2</v>
      </c>
      <c r="L90" s="8">
        <v>0.7</v>
      </c>
      <c r="M90" s="19">
        <v>259.99</v>
      </c>
      <c r="N90" s="16">
        <f>Table5[[#This Row],[Cost]]/Table5[[#This Row],[SizTB]]</f>
        <v>32.498750000000001</v>
      </c>
      <c r="O90" s="17">
        <f>Table5[[#This Row],[Cost]]+(($E$108-Table5[[#This Row],[Warnty]])*($E$109*Table5[[#This Row],[Cost]]))</f>
        <v>259.99</v>
      </c>
      <c r="P90" s="9">
        <f>Table5[[#This Row],[$+Warr]]/Table5[[#This Row],[SizTB]]</f>
        <v>32.498750000000001</v>
      </c>
      <c r="Q90" s="16">
        <f>Table5[[#This Row],[$PerTB]]/$D$108</f>
        <v>6.4997500000000006</v>
      </c>
      <c r="R90" s="10"/>
      <c r="S90" s="11">
        <f>((30/(1000/Table5[[#This Row],[Watts Active]]/24)*$D$107)+(30/(1000/Table5[[#This Row],[Watts Idle]]/24)*(100%-$D$107)))*$D$106*12</f>
        <v>5.8752000000000004</v>
      </c>
      <c r="T90" s="11">
        <f>Table5[[#This Row],[Energy$year]]/Table5[[#This Row],[SizTB]]</f>
        <v>0.73440000000000005</v>
      </c>
    </row>
    <row r="91" spans="1:21">
      <c r="A91" s="1">
        <v>42842</v>
      </c>
      <c r="B91" t="s">
        <v>6</v>
      </c>
      <c r="C91" t="s">
        <v>13</v>
      </c>
      <c r="D91" s="56" t="s">
        <v>69</v>
      </c>
      <c r="E91">
        <v>7200</v>
      </c>
      <c r="F91" s="7">
        <v>2</v>
      </c>
      <c r="G91" s="2">
        <f>(Table5[[#This Row],[RPM]]/5400-1)</f>
        <v>0.33333333333333326</v>
      </c>
      <c r="H91">
        <v>5</v>
      </c>
      <c r="I91" s="29">
        <f>12*1.9</f>
        <v>22.799999999999997</v>
      </c>
      <c r="J91" s="8">
        <v>7.8</v>
      </c>
      <c r="K91" s="8">
        <v>6</v>
      </c>
      <c r="L91" s="8">
        <v>1.4</v>
      </c>
      <c r="M91" s="19">
        <v>139.99</v>
      </c>
      <c r="N91" s="16">
        <f>Table5[[#This Row],[Cost]]/Table5[[#This Row],[SizTB]]</f>
        <v>69.995000000000005</v>
      </c>
      <c r="O91" s="17">
        <f>Table5[[#This Row],[Cost]]+(($E$108-Table5[[#This Row],[Warnty]])*($E$109*Table5[[#This Row],[Cost]]))</f>
        <v>139.99</v>
      </c>
      <c r="P91" s="9">
        <f>Table5[[#This Row],[$+Warr]]/Table5[[#This Row],[SizTB]]</f>
        <v>69.995000000000005</v>
      </c>
      <c r="Q91" s="16">
        <f>Table5[[#This Row],[$PerTB]]/$D$108</f>
        <v>13.999000000000001</v>
      </c>
      <c r="R91" s="10"/>
      <c r="S91" s="11">
        <f>((30/(1000/Table5[[#This Row],[Watts Active]]/24)*$D$107)+(30/(1000/Table5[[#This Row],[Watts Idle]]/24)*(100%-$D$107)))*$D$106*12</f>
        <v>6.8688000000000002</v>
      </c>
      <c r="T91" s="11">
        <f>Table5[[#This Row],[Energy$year]]/Table5[[#This Row],[SizTB]]</f>
        <v>3.4344000000000001</v>
      </c>
    </row>
    <row r="92" spans="1:21">
      <c r="A92" s="1">
        <v>42842</v>
      </c>
      <c r="B92" t="s">
        <v>6</v>
      </c>
      <c r="C92" t="s">
        <v>13</v>
      </c>
      <c r="D92" s="56" t="s">
        <v>69</v>
      </c>
      <c r="E92">
        <v>7200</v>
      </c>
      <c r="F92" s="7">
        <v>3</v>
      </c>
      <c r="G92" s="2">
        <f>(Table5[[#This Row],[RPM]]/5400-1)</f>
        <v>0.33333333333333326</v>
      </c>
      <c r="H92">
        <v>5</v>
      </c>
      <c r="I92" s="29">
        <f>12*1.9</f>
        <v>22.799999999999997</v>
      </c>
      <c r="J92" s="8">
        <v>8.6</v>
      </c>
      <c r="K92" s="8">
        <v>6.5</v>
      </c>
      <c r="L92" s="8">
        <v>0.6</v>
      </c>
      <c r="M92" s="19">
        <v>201.99</v>
      </c>
      <c r="N92" s="16">
        <f>Table5[[#This Row],[Cost]]/Table5[[#This Row],[SizTB]]</f>
        <v>67.33</v>
      </c>
      <c r="O92" s="17">
        <f>Table5[[#This Row],[Cost]]+(($E$108-Table5[[#This Row],[Warnty]])*($E$109*Table5[[#This Row],[Cost]]))</f>
        <v>201.99</v>
      </c>
      <c r="P92" s="9">
        <f>Table5[[#This Row],[$+Warr]]/Table5[[#This Row],[SizTB]]</f>
        <v>67.33</v>
      </c>
      <c r="Q92" s="16">
        <f>Table5[[#This Row],[$PerTB]]/$D$108</f>
        <v>13.465999999999999</v>
      </c>
      <c r="R92" s="10"/>
      <c r="S92" s="11">
        <f>((30/(1000/Table5[[#This Row],[Watts Active]]/24)*$D$107)+(30/(1000/Table5[[#This Row],[Watts Idle]]/24)*(100%-$D$107)))*$D$106*12</f>
        <v>7.4736000000000002</v>
      </c>
      <c r="T92" s="11">
        <f>Table5[[#This Row],[Energy$year]]/Table5[[#This Row],[SizTB]]</f>
        <v>2.4912000000000001</v>
      </c>
    </row>
    <row r="93" spans="1:21">
      <c r="A93" s="1">
        <v>42842</v>
      </c>
      <c r="B93" t="s">
        <v>6</v>
      </c>
      <c r="C93" t="s">
        <v>13</v>
      </c>
      <c r="D93" s="56" t="s">
        <v>69</v>
      </c>
      <c r="E93">
        <v>7200</v>
      </c>
      <c r="F93" s="7">
        <v>4</v>
      </c>
      <c r="G93" s="2">
        <f>(Table5[[#This Row],[RPM]]/5400-1)</f>
        <v>0.33333333333333326</v>
      </c>
      <c r="H93">
        <v>5</v>
      </c>
      <c r="I93" s="29">
        <f>12*1.9</f>
        <v>22.799999999999997</v>
      </c>
      <c r="J93" s="8">
        <v>9.1</v>
      </c>
      <c r="K93" s="8">
        <v>5.8</v>
      </c>
      <c r="L93" s="8">
        <v>1</v>
      </c>
      <c r="M93" s="19">
        <v>199.99</v>
      </c>
      <c r="N93" s="16">
        <f>Table5[[#This Row],[Cost]]/Table5[[#This Row],[SizTB]]</f>
        <v>49.997500000000002</v>
      </c>
      <c r="O93" s="17">
        <f>Table5[[#This Row],[Cost]]+(($E$108-Table5[[#This Row],[Warnty]])*($E$109*Table5[[#This Row],[Cost]]))</f>
        <v>199.99</v>
      </c>
      <c r="P93" s="9">
        <f>Table5[[#This Row],[$+Warr]]/Table5[[#This Row],[SizTB]]</f>
        <v>49.997500000000002</v>
      </c>
      <c r="Q93" s="16">
        <f>Table5[[#This Row],[$PerTB]]/$D$108</f>
        <v>9.9995000000000012</v>
      </c>
      <c r="R93" s="10"/>
      <c r="S93" s="11">
        <f>((30/(1000/Table5[[#This Row],[Watts Active]]/24)*$D$107)+(30/(1000/Table5[[#This Row],[Watts Idle]]/24)*(100%-$D$107)))*$D$106*12</f>
        <v>6.976799999999999</v>
      </c>
      <c r="T93" s="11">
        <f>Table5[[#This Row],[Energy$year]]/Table5[[#This Row],[SizTB]]</f>
        <v>1.7441999999999998</v>
      </c>
    </row>
    <row r="94" spans="1:21">
      <c r="A94" s="1">
        <v>42842</v>
      </c>
      <c r="B94" t="s">
        <v>6</v>
      </c>
      <c r="C94" t="s">
        <v>13</v>
      </c>
      <c r="D94" s="56" t="s">
        <v>69</v>
      </c>
      <c r="E94">
        <v>7200</v>
      </c>
      <c r="F94" s="7">
        <v>5</v>
      </c>
      <c r="G94" s="2">
        <f>(Table5[[#This Row],[RPM]]/5400-1)</f>
        <v>0.33333333333333326</v>
      </c>
      <c r="H94">
        <v>5</v>
      </c>
      <c r="I94" s="29">
        <f>12*1.9</f>
        <v>22.799999999999997</v>
      </c>
      <c r="J94" s="8">
        <v>10.6</v>
      </c>
      <c r="K94" s="8">
        <v>7.4</v>
      </c>
      <c r="L94" s="8">
        <v>1.6</v>
      </c>
      <c r="M94" s="19">
        <v>259.99</v>
      </c>
      <c r="N94" s="16">
        <f>Table5[[#This Row],[Cost]]/Table5[[#This Row],[SizTB]]</f>
        <v>51.998000000000005</v>
      </c>
      <c r="O94" s="17">
        <f>Table5[[#This Row],[Cost]]+(($E$108-Table5[[#This Row],[Warnty]])*($E$109*Table5[[#This Row],[Cost]]))</f>
        <v>259.99</v>
      </c>
      <c r="P94" s="9">
        <f>Table5[[#This Row],[$+Warr]]/Table5[[#This Row],[SizTB]]</f>
        <v>51.998000000000005</v>
      </c>
      <c r="Q94" s="16">
        <f>Table5[[#This Row],[$PerTB]]/$D$108</f>
        <v>10.399600000000001</v>
      </c>
      <c r="R94" s="30"/>
      <c r="S94" s="11">
        <f>((30/(1000/Table5[[#This Row],[Watts Active]]/24)*$D$107)+(30/(1000/Table5[[#This Row],[Watts Idle]]/24)*(100%-$D$107)))*$D$106*12</f>
        <v>8.6831999999999994</v>
      </c>
      <c r="T94" s="11">
        <f>Table5[[#This Row],[Energy$year]]/Table5[[#This Row],[SizTB]]</f>
        <v>1.73664</v>
      </c>
    </row>
    <row r="95" spans="1:21">
      <c r="A95" s="1">
        <v>42888</v>
      </c>
      <c r="B95" t="s">
        <v>6</v>
      </c>
      <c r="C95" t="s">
        <v>13</v>
      </c>
      <c r="D95" s="56" t="s">
        <v>69</v>
      </c>
      <c r="E95">
        <v>7200</v>
      </c>
      <c r="F95" s="7">
        <v>6</v>
      </c>
      <c r="G95" s="2">
        <f>(Table5[[#This Row],[RPM]]/5400-1)</f>
        <v>0.33333333333333326</v>
      </c>
      <c r="H95">
        <v>5</v>
      </c>
      <c r="I95" s="29">
        <f>12*1.9</f>
        <v>22.799999999999997</v>
      </c>
      <c r="J95" s="8">
        <v>9.1</v>
      </c>
      <c r="K95" s="8">
        <v>7.1</v>
      </c>
      <c r="L95" s="8">
        <v>1</v>
      </c>
      <c r="M95" s="19">
        <v>249.99</v>
      </c>
      <c r="N95" s="16">
        <f>Table5[[#This Row],[Cost]]/Table5[[#This Row],[SizTB]]</f>
        <v>41.664999999999999</v>
      </c>
      <c r="O95" s="17">
        <f>Table5[[#This Row],[Cost]]+(($E$108-Table5[[#This Row],[Warnty]])*($E$109*Table5[[#This Row],[Cost]]))</f>
        <v>249.99</v>
      </c>
      <c r="P95" s="9">
        <f>Table5[[#This Row],[$+Warr]]/Table5[[#This Row],[SizTB]]</f>
        <v>41.664999999999999</v>
      </c>
      <c r="Q95" s="16">
        <f>Table5[[#This Row],[$PerTB]]/$D$108</f>
        <v>8.3330000000000002</v>
      </c>
      <c r="R95" s="10"/>
      <c r="S95" s="11">
        <f>((30/(1000/Table5[[#This Row],[Watts Active]]/24)*$D$107)+(30/(1000/Table5[[#This Row],[Watts Idle]]/24)*(100%-$D$107)))*$D$106*12</f>
        <v>8.1</v>
      </c>
      <c r="T95" s="11">
        <f>Table5[[#This Row],[Energy$year]]/Table5[[#This Row],[SizTB]]</f>
        <v>1.3499999999999999</v>
      </c>
    </row>
    <row r="96" spans="1:21" ht="15.75" thickBot="1">
      <c r="A96" s="1">
        <v>42868</v>
      </c>
      <c r="B96" t="s">
        <v>6</v>
      </c>
      <c r="C96" t="s">
        <v>13</v>
      </c>
      <c r="D96" s="56" t="s">
        <v>69</v>
      </c>
      <c r="E96">
        <v>7200</v>
      </c>
      <c r="F96" s="7">
        <v>8</v>
      </c>
      <c r="G96" s="2">
        <f>(Table5[[#This Row],[RPM]]/5400-1)</f>
        <v>0.33333333333333326</v>
      </c>
      <c r="H96">
        <v>5</v>
      </c>
      <c r="I96" s="29">
        <f>12*1.79</f>
        <v>21.48</v>
      </c>
      <c r="J96" s="8">
        <v>7.9</v>
      </c>
      <c r="K96" s="8">
        <v>5.0999999999999996</v>
      </c>
      <c r="L96" s="8">
        <v>1</v>
      </c>
      <c r="M96" s="19">
        <f>399.99*0.9</f>
        <v>359.99100000000004</v>
      </c>
      <c r="N96" s="16">
        <f>Table5[[#This Row],[Cost]]/Table5[[#This Row],[SizTB]]</f>
        <v>44.998875000000005</v>
      </c>
      <c r="O96" s="17">
        <f>Table5[[#This Row],[Cost]]+(($E$108-Table5[[#This Row],[Warnty]])*($E$109*Table5[[#This Row],[Cost]]))</f>
        <v>359.99100000000004</v>
      </c>
      <c r="P96" s="9">
        <f>Table5[[#This Row],[$+Warr]]/Table5[[#This Row],[SizTB]]</f>
        <v>44.998875000000005</v>
      </c>
      <c r="Q96" s="16">
        <f>Table5[[#This Row],[$PerTB]]/$D$108</f>
        <v>8.9997750000000014</v>
      </c>
      <c r="R96" s="10"/>
      <c r="S96" s="11">
        <f>((30/(1000/Table5[[#This Row],[Watts Active]]/24)*$D$107)+(30/(1000/Table5[[#This Row],[Watts Idle]]/24)*(100%-$D$107)))*$D$106*12</f>
        <v>6.1128</v>
      </c>
      <c r="T96" s="11">
        <f>Table5[[#This Row],[Energy$year]]/Table5[[#This Row],[SizTB]]</f>
        <v>0.7641</v>
      </c>
    </row>
    <row r="97" spans="1:20" ht="15.75" thickBot="1">
      <c r="A97" s="10"/>
      <c r="B97" s="10"/>
      <c r="C97" s="10"/>
      <c r="D97" s="10"/>
      <c r="E97" s="10"/>
      <c r="G97" s="10"/>
      <c r="H97" s="32" t="s">
        <v>27</v>
      </c>
      <c r="I97" s="33">
        <f>MIN(I3:I96)</f>
        <v>5</v>
      </c>
      <c r="J97" s="33">
        <f>MIN(J3:J96)</f>
        <v>1.7</v>
      </c>
      <c r="K97" s="33">
        <f>MIN(K3:K96)</f>
        <v>0.45</v>
      </c>
      <c r="L97" s="33">
        <f>MIN(L3:L96)</f>
        <v>0.4</v>
      </c>
      <c r="M97" s="33"/>
      <c r="N97" s="34">
        <f>MIN(N3:N96)</f>
        <v>23.33</v>
      </c>
      <c r="O97" s="35"/>
      <c r="P97" s="34">
        <f>MIN(P3:P96)</f>
        <v>23.33</v>
      </c>
      <c r="Q97" s="34">
        <f>MIN(Q3:Q96)</f>
        <v>4.6659999999999995</v>
      </c>
      <c r="R97" s="35"/>
      <c r="S97" s="34">
        <f>MIN(S3:S96)</f>
        <v>0.75600000000000001</v>
      </c>
      <c r="T97" s="36">
        <f>MIN(T3:T96)</f>
        <v>0.28080000000000005</v>
      </c>
    </row>
    <row r="98" spans="1:20" ht="15.75" thickBot="1">
      <c r="B98" s="7"/>
      <c r="H98" s="37" t="s">
        <v>46</v>
      </c>
      <c r="I98" s="38">
        <f>AVERAGE(I3:I96)</f>
        <v>21.812258064516126</v>
      </c>
      <c r="J98" s="38">
        <f>AVERAGE(J3:J96)</f>
        <v>7.1840000000000046</v>
      </c>
      <c r="K98" s="38">
        <f>AVERAGE(K3:K96)</f>
        <v>5.0976190476190464</v>
      </c>
      <c r="L98" s="38">
        <f>AVERAGE(L3:L96)</f>
        <v>0.82189655172413822</v>
      </c>
      <c r="M98" s="39"/>
      <c r="N98" s="40">
        <f>AVERAGE(N3:N96)</f>
        <v>52.882450502364044</v>
      </c>
      <c r="O98" s="39"/>
      <c r="P98" s="40">
        <f>AVERAGE(P3:P96)</f>
        <v>52.882450502364044</v>
      </c>
      <c r="Q98" s="40">
        <f>AVERAGE(Q3:Q96)</f>
        <v>10.576490100472816</v>
      </c>
      <c r="R98" s="39"/>
      <c r="S98" s="40">
        <f>AVERAGE(S3:S96)</f>
        <v>5.8678724050632907</v>
      </c>
      <c r="T98" s="41">
        <f>AVERAGE(T3:T96)</f>
        <v>1.9133668101265824</v>
      </c>
    </row>
    <row r="99" spans="1:20" ht="15.75" thickBot="1">
      <c r="B99" s="7"/>
      <c r="H99" s="37" t="s">
        <v>26</v>
      </c>
      <c r="I99" s="38">
        <f>MEDIAN(I3:I96)</f>
        <v>23.28</v>
      </c>
      <c r="J99" s="38">
        <f>MEDIAN(J3:J96)</f>
        <v>7.6999999999999993</v>
      </c>
      <c r="K99" s="38">
        <f>MEDIAN(K3:K96)</f>
        <v>5.0999999999999996</v>
      </c>
      <c r="L99" s="38">
        <f>MEDIAN(L3:L96)</f>
        <v>0.8</v>
      </c>
      <c r="M99" s="42"/>
      <c r="N99" s="40">
        <f>MEDIAN(N3:N96)</f>
        <v>44.997916666666669</v>
      </c>
      <c r="O99" s="42"/>
      <c r="P99" s="40">
        <f>MEDIAN(P3:P96)</f>
        <v>44.997916666666669</v>
      </c>
      <c r="Q99" s="40">
        <f>MEDIAN(Q3:Q96)</f>
        <v>8.9995833333333337</v>
      </c>
      <c r="R99" s="42"/>
      <c r="S99" s="40">
        <f>MEDIAN(S3:S96)</f>
        <v>5.9399999999999995</v>
      </c>
      <c r="T99" s="41">
        <f>MEDIAN(T3:T96)</f>
        <v>1.476</v>
      </c>
    </row>
    <row r="100" spans="1:20" ht="15.75" thickBot="1">
      <c r="H100" s="37" t="s">
        <v>28</v>
      </c>
      <c r="I100" s="38">
        <f>MAX(I3:I96)</f>
        <v>31.200000000000003</v>
      </c>
      <c r="J100" s="38">
        <f>MAX(J3:J96)</f>
        <v>11.27</v>
      </c>
      <c r="K100" s="38">
        <f>MAX(K3:K96)</f>
        <v>8.1</v>
      </c>
      <c r="L100" s="38">
        <f>MAX(L3:L96)</f>
        <v>1.6</v>
      </c>
      <c r="M100" s="38"/>
      <c r="N100" s="40">
        <f>MAX(N3:N96)</f>
        <v>324.93888888888887</v>
      </c>
      <c r="O100" s="39"/>
      <c r="P100" s="40">
        <f>MAX(P3:P96)</f>
        <v>324.93888888888887</v>
      </c>
      <c r="Q100" s="40">
        <f>MAX(Q3:Q96)</f>
        <v>64.987777777777779</v>
      </c>
      <c r="R100" s="39"/>
      <c r="S100" s="40">
        <f>MAX(S3:S96)</f>
        <v>9.0504000000000016</v>
      </c>
      <c r="T100" s="41">
        <f>MAX(T3:T96)</f>
        <v>6.8472000000000008</v>
      </c>
    </row>
    <row r="101" spans="1:20" ht="15.75" thickBot="1">
      <c r="H101" s="43" t="s">
        <v>51</v>
      </c>
      <c r="I101" s="44">
        <f>COUNT(Table5[MaxStartupWatts])</f>
        <v>62</v>
      </c>
      <c r="J101" s="44">
        <f>COUNT(Table5[Watts Active])</f>
        <v>80</v>
      </c>
      <c r="K101" s="44">
        <f>COUNT(Table5[Watts Idle])</f>
        <v>84</v>
      </c>
      <c r="L101" s="44">
        <f>COUNT(Table5[WattsStandby])</f>
        <v>58</v>
      </c>
      <c r="M101" s="45"/>
      <c r="N101" s="45">
        <f>COUNT(Table5[$ TB])</f>
        <v>94</v>
      </c>
      <c r="O101" s="45"/>
      <c r="P101" s="45">
        <f>COUNT(Table5[$PerTB])</f>
        <v>94</v>
      </c>
      <c r="Q101" s="45">
        <f>COUNTA(Table5[$ TB/year])</f>
        <v>94</v>
      </c>
      <c r="R101" s="45"/>
      <c r="S101" s="44">
        <f>COUNT(Table5[Energy$year])</f>
        <v>79</v>
      </c>
      <c r="T101" s="46">
        <f>COUNT(Table5[Energy$yearPerTB])</f>
        <v>79</v>
      </c>
    </row>
    <row r="104" spans="1:20" ht="15.75" thickBot="1"/>
    <row r="105" spans="1:20" ht="15.75" thickBot="1">
      <c r="A105" s="5" t="s">
        <v>29</v>
      </c>
      <c r="C105" s="62" t="s">
        <v>24</v>
      </c>
      <c r="D105" s="63"/>
    </row>
    <row r="106" spans="1:20" ht="15.75" thickBot="1">
      <c r="A106" s="25">
        <f>MAX(A2:A96)</f>
        <v>42947</v>
      </c>
      <c r="C106" s="49" t="s">
        <v>20</v>
      </c>
      <c r="D106" s="50">
        <v>0.125</v>
      </c>
      <c r="E106" s="53"/>
    </row>
    <row r="107" spans="1:20" ht="15.75" thickBot="1">
      <c r="C107" s="49" t="s">
        <v>36</v>
      </c>
      <c r="D107" s="51">
        <v>0.2</v>
      </c>
      <c r="E107" s="54"/>
    </row>
    <row r="108" spans="1:20" ht="15.75" thickBot="1">
      <c r="C108" s="49" t="s">
        <v>45</v>
      </c>
      <c r="D108" s="52">
        <v>5</v>
      </c>
      <c r="E108" s="55"/>
    </row>
    <row r="109" spans="1:20" ht="15.75" thickBot="1">
      <c r="C109" s="49" t="s">
        <v>62</v>
      </c>
      <c r="D109" s="51">
        <v>0.1</v>
      </c>
      <c r="E109" s="54"/>
    </row>
    <row r="110" spans="1:20" ht="15.75" thickBot="1">
      <c r="C110" s="49" t="s">
        <v>37</v>
      </c>
      <c r="D110" s="52">
        <f>24*365</f>
        <v>8760</v>
      </c>
      <c r="E110" s="55"/>
    </row>
    <row r="112" spans="1:20">
      <c r="A112" t="s">
        <v>53</v>
      </c>
    </row>
  </sheetData>
  <sortState ref="A2:O62">
    <sortCondition ref="B2:B62"/>
    <sortCondition ref="C2:C62"/>
    <sortCondition ref="E2:E62"/>
    <sortCondition ref="F2:F62"/>
  </sortState>
  <mergeCells count="4">
    <mergeCell ref="O1:Q1"/>
    <mergeCell ref="M1:N1"/>
    <mergeCell ref="S1:T1"/>
    <mergeCell ref="C105:D105"/>
  </mergeCells>
  <conditionalFormatting sqref="N3:N96">
    <cfRule type="top10" dxfId="21" priority="189" bottom="1" rank="20"/>
  </conditionalFormatting>
  <conditionalFormatting sqref="Q3:Q96">
    <cfRule type="top10" dxfId="20" priority="190" bottom="1" rank="20"/>
  </conditionalFormatting>
  <conditionalFormatting sqref="S3:T96">
    <cfRule type="aboveAverage" dxfId="19" priority="187" aboveAverage="0"/>
    <cfRule type="colorScale" priority="188">
      <colorScale>
        <cfvo type="min" val="0"/>
        <cfvo type="formula" val="$S$98"/>
        <cfvo type="max" val="0"/>
        <color theme="9"/>
        <color rgb="FFFFEB84"/>
        <color theme="5"/>
      </colorScale>
    </cfRule>
  </conditionalFormatting>
  <pageMargins left="0.7" right="0.7" top="0.75" bottom="0.75" header="0.3" footer="0.3"/>
  <pageSetup orientation="portrait" verticalDpi="0" r:id="rId1"/>
  <ignoredErrors>
    <ignoredError sqref="I56" formula="1"/>
  </ignoredErrors>
  <tableParts count="1">
    <tablePart r:id="rId2"/>
  </tableParts>
</worksheet>
</file>

<file path=xl/worksheets/sheet2.xml><?xml version="1.0" encoding="utf-8"?>
<worksheet xmlns="http://schemas.openxmlformats.org/spreadsheetml/2006/main" xmlns:r="http://schemas.openxmlformats.org/officeDocument/2006/relationships">
  <dimension ref="A1"/>
  <sheetViews>
    <sheetView topLeftCell="A5" workbookViewId="0">
      <selection activeCell="A8" sqref="A8"/>
    </sheetView>
  </sheetViews>
  <sheetFormatPr defaultRowHeight="15"/>
  <sheetData/>
  <pageMargins left="0.7" right="0.7" top="0.75" bottom="0.75" header="0.3" footer="0.3"/>
  <pageSetup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Drive Table</vt:lpstr>
      <vt:lpstr>Charts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Disk Price Aalysis</dc:title>
  <dc:creator/>
  <cp:lastModifiedBy/>
  <dcterms:created xsi:type="dcterms:W3CDTF">2017-03-24T23:12:53Z</dcterms:created>
  <dcterms:modified xsi:type="dcterms:W3CDTF">2017-08-01T04:26:06Z</dcterms:modified>
</cp:coreProperties>
</file>