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/>
  <bookViews>
    <workbookView xWindow="0" yWindow="0" windowWidth="7560" windowHeight="640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Table'!$D$185</definedName>
    <definedName name="CompareWarrYrs">'Drive Table'!$D$186</definedName>
    <definedName name="CostPerKWH">'Drive Table'!$D$184</definedName>
    <definedName name="Day_in_Year">'Drive Table'!$D$192</definedName>
    <definedName name="Days_In_Month">'Drive Table'!$D$191</definedName>
    <definedName name="Days_in_Year">'Drive Table'!$D$192</definedName>
    <definedName name="Exchange_Rate">'Drive Table'!$D$194</definedName>
    <definedName name="Hours_In_Day">'Drive Table'!$D$189</definedName>
    <definedName name="Hours_In_Month">'Drive Table'!$D$190</definedName>
    <definedName name="Incremental_Warr_Yr">'Drive Table'!$D$187</definedName>
    <definedName name="Months_In_Year">'Drive Table'!$D$193</definedName>
    <definedName name="Power_On_Hours_Year">'Drive Table'!$D$188</definedName>
    <definedName name="_xlnm.Print_Titles" localSheetId="0">'Drive Table'!$1:$2</definedName>
  </definedNames>
  <calcPr calcId="152511"/>
  <pivotCaches>
    <pivotCache cacheId="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17" i="1" l="1"/>
  <c r="P118" i="1"/>
  <c r="U106" i="1"/>
  <c r="V106" i="1" s="1"/>
  <c r="Y100" i="1"/>
  <c r="X106" i="1"/>
  <c r="X107" i="1"/>
  <c r="X108" i="1"/>
  <c r="X109" i="1"/>
  <c r="X110" i="1"/>
  <c r="X111" i="1"/>
  <c r="X112" i="1"/>
  <c r="Y106" i="1"/>
  <c r="Y107" i="1"/>
  <c r="Z107" i="1" s="1"/>
  <c r="AA107" i="1" s="1"/>
  <c r="AB107" i="1" s="1"/>
  <c r="Y108" i="1"/>
  <c r="Z108" i="1" s="1"/>
  <c r="AA108" i="1" s="1"/>
  <c r="AB108" i="1" s="1"/>
  <c r="Y109" i="1"/>
  <c r="Z109" i="1" s="1"/>
  <c r="AA109" i="1" s="1"/>
  <c r="AB109" i="1" s="1"/>
  <c r="Y110" i="1"/>
  <c r="Z110" i="1" s="1"/>
  <c r="AA110" i="1" s="1"/>
  <c r="AB110" i="1" s="1"/>
  <c r="Y111" i="1"/>
  <c r="Z111" i="1" s="1"/>
  <c r="AA111" i="1" s="1"/>
  <c r="AB111" i="1" s="1"/>
  <c r="Y112" i="1"/>
  <c r="Z112" i="1" s="1"/>
  <c r="AA112" i="1" s="1"/>
  <c r="AB112" i="1" s="1"/>
  <c r="Z106" i="1"/>
  <c r="AA106" i="1" s="1"/>
  <c r="AB101" i="1"/>
  <c r="AB102" i="1"/>
  <c r="AB103" i="1"/>
  <c r="AB104" i="1"/>
  <c r="AB105" i="1"/>
  <c r="AA101" i="1"/>
  <c r="AA102" i="1"/>
  <c r="AA103" i="1"/>
  <c r="AA104" i="1"/>
  <c r="AA105" i="1"/>
  <c r="AB106" i="1" l="1"/>
  <c r="P107" i="1"/>
  <c r="P108" i="1"/>
  <c r="P109" i="1"/>
  <c r="P110" i="1"/>
  <c r="P112" i="1"/>
  <c r="P111" i="1"/>
  <c r="P106" i="1"/>
  <c r="J106" i="1"/>
  <c r="X117" i="1"/>
  <c r="Y117" i="1"/>
  <c r="Z117" i="1" s="1"/>
  <c r="AA117" i="1" s="1"/>
  <c r="J117" i="1"/>
  <c r="Y118" i="1"/>
  <c r="Z118" i="1" s="1"/>
  <c r="AA118" i="1" s="1"/>
  <c r="X118" i="1"/>
  <c r="J118" i="1"/>
  <c r="W126" i="1"/>
  <c r="W125" i="1"/>
  <c r="X173" i="1"/>
  <c r="Y173" i="1"/>
  <c r="Z173" i="1" s="1"/>
  <c r="AA173" i="1" s="1"/>
  <c r="Y172" i="1"/>
  <c r="Z172" i="1" s="1"/>
  <c r="AA172" i="1" s="1"/>
  <c r="X172" i="1"/>
  <c r="J172" i="1"/>
  <c r="J173" i="1"/>
  <c r="J165" i="1"/>
  <c r="J166" i="1"/>
  <c r="J167" i="1"/>
  <c r="J168" i="1"/>
  <c r="J169" i="1"/>
  <c r="J170" i="1"/>
  <c r="X165" i="1"/>
  <c r="X166" i="1"/>
  <c r="X167" i="1"/>
  <c r="X168" i="1"/>
  <c r="X169" i="1"/>
  <c r="X170" i="1"/>
  <c r="Y165" i="1"/>
  <c r="Z165" i="1" s="1"/>
  <c r="AA165" i="1" s="1"/>
  <c r="AB165" i="1" s="1"/>
  <c r="Y166" i="1"/>
  <c r="Z166" i="1" s="1"/>
  <c r="AA166" i="1" s="1"/>
  <c r="AB166" i="1" s="1"/>
  <c r="Y167" i="1"/>
  <c r="Z167" i="1" s="1"/>
  <c r="AA167" i="1" s="1"/>
  <c r="AB167" i="1" s="1"/>
  <c r="Y168" i="1"/>
  <c r="Z168" i="1" s="1"/>
  <c r="AA168" i="1" s="1"/>
  <c r="AB168" i="1" s="1"/>
  <c r="Y169" i="1"/>
  <c r="Z169" i="1" s="1"/>
  <c r="AA169" i="1" s="1"/>
  <c r="AB169" i="1" s="1"/>
  <c r="Y170" i="1"/>
  <c r="Z170" i="1" s="1"/>
  <c r="AA170" i="1" s="1"/>
  <c r="AB170" i="1" s="1"/>
  <c r="J171" i="1"/>
  <c r="X171" i="1"/>
  <c r="Y171" i="1"/>
  <c r="Z171" i="1" s="1"/>
  <c r="AA171" i="1" s="1"/>
  <c r="AB171" i="1" s="1"/>
  <c r="W48" i="1" l="1"/>
  <c r="X128" i="1"/>
  <c r="AB126" i="1"/>
  <c r="Z126" i="1"/>
  <c r="X126" i="1"/>
  <c r="Y127" i="1"/>
  <c r="Z127" i="1" s="1"/>
  <c r="AA127" i="1" s="1"/>
  <c r="X127" i="1"/>
  <c r="P127" i="1"/>
  <c r="J127" i="1"/>
  <c r="W86" i="1"/>
  <c r="W88" i="1"/>
  <c r="W87" i="1"/>
  <c r="Y87" i="1" s="1"/>
  <c r="W85" i="1"/>
  <c r="Y85" i="1" s="1"/>
  <c r="W84" i="1"/>
  <c r="Y84" i="1" s="1"/>
  <c r="W82" i="1"/>
  <c r="Y82" i="1" s="1"/>
  <c r="W5" i="1"/>
  <c r="W17" i="1"/>
  <c r="Y158" i="1" l="1"/>
  <c r="X140" i="1"/>
  <c r="W105" i="1" l="1"/>
  <c r="W8" i="1"/>
  <c r="W137" i="1"/>
  <c r="J107" i="1" l="1"/>
  <c r="J108" i="1"/>
  <c r="J109" i="1"/>
  <c r="J110" i="1"/>
  <c r="J112" i="1"/>
  <c r="J111" i="1"/>
  <c r="Q46" i="1"/>
  <c r="Q47" i="1"/>
  <c r="Q48" i="1"/>
  <c r="Y68" i="1"/>
  <c r="Z68" i="1" s="1"/>
  <c r="AA68" i="1" s="1"/>
  <c r="X68" i="1"/>
  <c r="J68" i="1"/>
  <c r="Y48" i="1"/>
  <c r="Z48" i="1" s="1"/>
  <c r="AA48" i="1" s="1"/>
  <c r="X48" i="1"/>
  <c r="J48" i="1"/>
  <c r="Q79" i="1"/>
  <c r="Q80" i="1"/>
  <c r="Y88" i="1"/>
  <c r="Z88" i="1" s="1"/>
  <c r="AA88" i="1" s="1"/>
  <c r="X88" i="1"/>
  <c r="J88" i="1"/>
  <c r="Q81" i="1"/>
  <c r="Y81" i="1"/>
  <c r="Z81" i="1" s="1"/>
  <c r="AA81" i="1" s="1"/>
  <c r="X81" i="1"/>
  <c r="J81" i="1"/>
  <c r="P71" i="1"/>
  <c r="P72" i="1"/>
  <c r="V3" i="1" l="1"/>
  <c r="V4" i="1"/>
  <c r="V5" i="1"/>
  <c r="V6" i="1"/>
  <c r="U4" i="1"/>
  <c r="U5" i="1"/>
  <c r="U6" i="1"/>
  <c r="U3" i="1"/>
  <c r="AB125" i="1" l="1"/>
  <c r="Z125" i="1" l="1"/>
  <c r="Z62" i="1"/>
  <c r="AA62" i="1" s="1"/>
  <c r="X97" i="1"/>
  <c r="X98" i="1"/>
  <c r="X99" i="1"/>
  <c r="X100" i="1"/>
  <c r="X101" i="1"/>
  <c r="X102" i="1"/>
  <c r="X103" i="1"/>
  <c r="X104" i="1"/>
  <c r="X105" i="1"/>
  <c r="X114" i="1"/>
  <c r="X115" i="1"/>
  <c r="X116" i="1"/>
  <c r="X119" i="1"/>
  <c r="X120" i="1"/>
  <c r="X121" i="1"/>
  <c r="X122" i="1"/>
  <c r="X123" i="1"/>
  <c r="X124" i="1"/>
  <c r="X125" i="1"/>
  <c r="X129" i="1"/>
  <c r="X130" i="1"/>
  <c r="X131" i="1"/>
  <c r="X132" i="1"/>
  <c r="X133" i="1"/>
  <c r="X134" i="1"/>
  <c r="X135" i="1"/>
  <c r="X136" i="1"/>
  <c r="X137" i="1"/>
  <c r="X138" i="1"/>
  <c r="X139" i="1"/>
  <c r="X141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3" i="1"/>
  <c r="X174" i="1"/>
  <c r="X5" i="1"/>
  <c r="X6" i="1"/>
  <c r="X7" i="1"/>
  <c r="X8" i="1"/>
  <c r="X9" i="1"/>
  <c r="X10" i="1"/>
  <c r="X11" i="1"/>
  <c r="X12" i="1"/>
  <c r="X13" i="1"/>
  <c r="X14" i="1"/>
  <c r="X15" i="1"/>
  <c r="X16" i="1"/>
  <c r="X18" i="1"/>
  <c r="X19" i="1"/>
  <c r="X20" i="1"/>
  <c r="X21" i="1"/>
  <c r="X22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9" i="1"/>
  <c r="X50" i="1"/>
  <c r="X51" i="1"/>
  <c r="X52" i="1"/>
  <c r="X53" i="1"/>
  <c r="X54" i="1"/>
  <c r="X55" i="1"/>
  <c r="X56" i="1"/>
  <c r="X57" i="1"/>
  <c r="X58" i="1"/>
  <c r="X60" i="1"/>
  <c r="X61" i="1"/>
  <c r="X62" i="1"/>
  <c r="X64" i="1"/>
  <c r="X65" i="1"/>
  <c r="X66" i="1"/>
  <c r="X67" i="1"/>
  <c r="X69" i="1"/>
  <c r="X70" i="1"/>
  <c r="X71" i="1"/>
  <c r="X72" i="1"/>
  <c r="X73" i="1"/>
  <c r="X74" i="1"/>
  <c r="X75" i="1"/>
  <c r="X76" i="1"/>
  <c r="X77" i="1"/>
  <c r="X78" i="1"/>
  <c r="X79" i="1"/>
  <c r="X80" i="1"/>
  <c r="X82" i="1"/>
  <c r="X83" i="1"/>
  <c r="X84" i="1"/>
  <c r="X85" i="1"/>
  <c r="X86" i="1"/>
  <c r="X87" i="1"/>
  <c r="X89" i="1"/>
  <c r="X90" i="1"/>
  <c r="X91" i="1"/>
  <c r="X92" i="1"/>
  <c r="X93" i="1"/>
  <c r="X94" i="1"/>
  <c r="X95" i="1"/>
  <c r="X96" i="1"/>
  <c r="X3" i="1" l="1"/>
  <c r="P70" i="1"/>
  <c r="P69" i="1"/>
  <c r="X4" i="1"/>
  <c r="X142" i="1"/>
  <c r="P103" i="1" l="1"/>
  <c r="X113" i="1" l="1"/>
  <c r="Y89" i="1"/>
  <c r="Z89" i="1" s="1"/>
  <c r="AA89" i="1" s="1"/>
  <c r="D188" i="1" l="1"/>
  <c r="U118" i="1" l="1"/>
  <c r="V118" i="1" s="1"/>
  <c r="AB118" i="1" s="1"/>
  <c r="U117" i="1"/>
  <c r="V117" i="1" s="1"/>
  <c r="AB117" i="1" s="1"/>
  <c r="U127" i="1"/>
  <c r="V127" i="1" s="1"/>
  <c r="AB127" i="1" s="1"/>
  <c r="U174" i="1"/>
  <c r="V174" i="1" s="1"/>
  <c r="U172" i="1"/>
  <c r="V172" i="1" s="1"/>
  <c r="AB172" i="1" s="1"/>
  <c r="U173" i="1"/>
  <c r="V173" i="1" s="1"/>
  <c r="AB173" i="1" s="1"/>
  <c r="U107" i="1"/>
  <c r="V107" i="1" s="1"/>
  <c r="U108" i="1"/>
  <c r="V108" i="1" s="1"/>
  <c r="U109" i="1"/>
  <c r="V109" i="1" s="1"/>
  <c r="U112" i="1"/>
  <c r="V112" i="1" s="1"/>
  <c r="U110" i="1"/>
  <c r="V110" i="1" s="1"/>
  <c r="U111" i="1"/>
  <c r="V111" i="1" s="1"/>
  <c r="U48" i="1"/>
  <c r="V48" i="1" s="1"/>
  <c r="AB48" i="1" s="1"/>
  <c r="U68" i="1"/>
  <c r="V68" i="1" s="1"/>
  <c r="AB68" i="1" s="1"/>
  <c r="U81" i="1"/>
  <c r="V81" i="1" s="1"/>
  <c r="AB81" i="1" s="1"/>
  <c r="U88" i="1"/>
  <c r="V88" i="1" s="1"/>
  <c r="AB88" i="1" s="1"/>
  <c r="U103" i="1"/>
  <c r="V103" i="1" s="1"/>
  <c r="U102" i="1"/>
  <c r="W23" i="1"/>
  <c r="X23" i="1" s="1"/>
  <c r="X162" i="1"/>
  <c r="Y105" i="1"/>
  <c r="Z105" i="1" s="1"/>
  <c r="P105" i="1"/>
  <c r="J105" i="1"/>
  <c r="Y116" i="1"/>
  <c r="Z116" i="1" s="1"/>
  <c r="AA116" i="1" s="1"/>
  <c r="P116" i="1"/>
  <c r="J116" i="1"/>
  <c r="J103" i="1"/>
  <c r="Y103" i="1"/>
  <c r="Z103" i="1" s="1"/>
  <c r="Y3" i="1" l="1"/>
  <c r="Z3" i="1" s="1"/>
  <c r="AA3" i="1" s="1"/>
  <c r="AB3" i="1" s="1"/>
  <c r="X17" i="1" l="1"/>
  <c r="J40" i="1" l="1"/>
  <c r="P40" i="1"/>
  <c r="Y40" i="1"/>
  <c r="AC40" i="1"/>
  <c r="AD40" i="1"/>
  <c r="Z40" i="1" l="1"/>
  <c r="AA40" i="1" s="1"/>
  <c r="X59" i="1"/>
  <c r="Y61" i="1"/>
  <c r="Z61" i="1" s="1"/>
  <c r="AA61" i="1" s="1"/>
  <c r="J61" i="1"/>
  <c r="X63" i="1"/>
  <c r="Q50" i="1" l="1"/>
  <c r="Q52" i="1"/>
  <c r="Q51" i="1"/>
  <c r="P104" i="1"/>
  <c r="P96" i="1"/>
  <c r="P97" i="1"/>
  <c r="AD15" i="1" l="1"/>
  <c r="AD16" i="1"/>
  <c r="AD17" i="1"/>
  <c r="AD14" i="1"/>
  <c r="AC15" i="1"/>
  <c r="AC16" i="1"/>
  <c r="AC17" i="1"/>
  <c r="Y11" i="1"/>
  <c r="Z11" i="1" s="1"/>
  <c r="AA11" i="1" s="1"/>
  <c r="Q11" i="1"/>
  <c r="J11" i="1"/>
  <c r="Y12" i="1"/>
  <c r="Z12" i="1" s="1"/>
  <c r="AA12" i="1" s="1"/>
  <c r="Q12" i="1"/>
  <c r="J12" i="1"/>
  <c r="AC14" i="1"/>
  <c r="Q13" i="1"/>
  <c r="J104" i="1" l="1"/>
  <c r="Y104" i="1"/>
  <c r="Z104" i="1" s="1"/>
  <c r="Y50" i="1"/>
  <c r="Z50" i="1" s="1"/>
  <c r="AA50" i="1" s="1"/>
  <c r="J50" i="1"/>
  <c r="Y70" i="1"/>
  <c r="Z70" i="1" s="1"/>
  <c r="AA70" i="1" s="1"/>
  <c r="J70" i="1"/>
  <c r="Y69" i="1"/>
  <c r="Z69" i="1" s="1"/>
  <c r="AA69" i="1" s="1"/>
  <c r="J69" i="1"/>
  <c r="Y136" i="1"/>
  <c r="Z136" i="1" s="1"/>
  <c r="AA136" i="1" s="1"/>
  <c r="P136" i="1"/>
  <c r="J136" i="1"/>
  <c r="Y135" i="1"/>
  <c r="Z135" i="1" s="1"/>
  <c r="AA135" i="1" s="1"/>
  <c r="P135" i="1"/>
  <c r="J135" i="1"/>
  <c r="Y19" i="1"/>
  <c r="Z19" i="1" s="1"/>
  <c r="AA19" i="1" s="1"/>
  <c r="J19" i="1"/>
  <c r="P41" i="1" l="1"/>
  <c r="AD37" i="1"/>
  <c r="AC37" i="1"/>
  <c r="AC38" i="1"/>
  <c r="AD38" i="1"/>
  <c r="AD39" i="1"/>
  <c r="AC39" i="1"/>
  <c r="AD41" i="1"/>
  <c r="AC41" i="1"/>
  <c r="J41" i="1"/>
  <c r="Y41" i="1"/>
  <c r="Z41" i="1" s="1"/>
  <c r="AA41" i="1" s="1"/>
  <c r="Q49" i="1" l="1"/>
  <c r="J49" i="1"/>
  <c r="Y49" i="1"/>
  <c r="Z49" i="1" s="1"/>
  <c r="AA49" i="1" s="1"/>
  <c r="J13" i="1" l="1"/>
  <c r="Y13" i="1"/>
  <c r="Z13" i="1" s="1"/>
  <c r="AA13" i="1" s="1"/>
  <c r="Y28" i="1" l="1"/>
  <c r="Z28" i="1" s="1"/>
  <c r="AA28" i="1" s="1"/>
  <c r="Y29" i="1"/>
  <c r="Z29" i="1" s="1"/>
  <c r="AA29" i="1" s="1"/>
  <c r="Y30" i="1"/>
  <c r="Z30" i="1" s="1"/>
  <c r="AA30" i="1" s="1"/>
  <c r="AC175" i="1" l="1"/>
  <c r="AD175" i="1"/>
  <c r="AC176" i="1"/>
  <c r="AD176" i="1"/>
  <c r="AC177" i="1"/>
  <c r="AD177" i="1"/>
  <c r="AC178" i="1"/>
  <c r="AD178" i="1"/>
  <c r="AC179" i="1"/>
  <c r="AD179" i="1"/>
  <c r="P100" i="1" l="1"/>
  <c r="Z100" i="1"/>
  <c r="AA100" i="1" s="1"/>
  <c r="J100" i="1"/>
  <c r="Y97" i="1" l="1"/>
  <c r="Z97" i="1" s="1"/>
  <c r="AA97" i="1" s="1"/>
  <c r="J97" i="1"/>
  <c r="Y96" i="1"/>
  <c r="Z96" i="1" s="1"/>
  <c r="AA96" i="1" s="1"/>
  <c r="J96" i="1"/>
  <c r="Y101" i="1"/>
  <c r="Z101" i="1" s="1"/>
  <c r="P101" i="1"/>
  <c r="J101" i="1"/>
  <c r="Y98" i="1"/>
  <c r="Z98" i="1" s="1"/>
  <c r="AA98" i="1" s="1"/>
  <c r="P98" i="1"/>
  <c r="J98" i="1"/>
  <c r="P92" i="1"/>
  <c r="P91" i="1"/>
  <c r="P90" i="1"/>
  <c r="Y92" i="1"/>
  <c r="Z92" i="1" s="1"/>
  <c r="AA92" i="1" s="1"/>
  <c r="J92" i="1"/>
  <c r="Y91" i="1"/>
  <c r="Z91" i="1" s="1"/>
  <c r="AA91" i="1" s="1"/>
  <c r="J91" i="1"/>
  <c r="Y90" i="1"/>
  <c r="Z90" i="1" s="1"/>
  <c r="AA90" i="1" s="1"/>
  <c r="J90" i="1"/>
  <c r="Y6" i="1" l="1"/>
  <c r="Z6" i="1" s="1"/>
  <c r="AA6" i="1" s="1"/>
  <c r="AB6" i="1" s="1"/>
  <c r="J9" i="1" l="1"/>
  <c r="J10" i="1"/>
  <c r="Y10" i="1"/>
  <c r="Z10" i="1" s="1"/>
  <c r="AA10" i="1" s="1"/>
  <c r="Y9" i="1"/>
  <c r="Z9" i="1" s="1"/>
  <c r="AA9" i="1" s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4" i="1"/>
  <c r="P73" i="1"/>
  <c r="P74" i="1"/>
  <c r="P75" i="1"/>
  <c r="P76" i="1"/>
  <c r="P89" i="1"/>
  <c r="P93" i="1"/>
  <c r="P94" i="1"/>
  <c r="P95" i="1"/>
  <c r="P99" i="1"/>
  <c r="P102" i="1"/>
  <c r="P113" i="1"/>
  <c r="P114" i="1"/>
  <c r="P115" i="1"/>
  <c r="P119" i="1"/>
  <c r="P120" i="1"/>
  <c r="P121" i="1"/>
  <c r="P122" i="1"/>
  <c r="P123" i="1"/>
  <c r="P124" i="1"/>
  <c r="P129" i="1"/>
  <c r="P130" i="1"/>
  <c r="P131" i="1"/>
  <c r="P132" i="1"/>
  <c r="P133" i="1"/>
  <c r="P134" i="1"/>
  <c r="P137" i="1"/>
  <c r="P138" i="1"/>
  <c r="P139" i="1"/>
  <c r="P140" i="1"/>
  <c r="P141" i="1"/>
  <c r="P149" i="1"/>
  <c r="P150" i="1"/>
  <c r="P151" i="1"/>
  <c r="P152" i="1"/>
  <c r="P153" i="1"/>
  <c r="P154" i="1"/>
  <c r="P155" i="1"/>
  <c r="P156" i="1"/>
  <c r="P157" i="1"/>
  <c r="P158" i="1"/>
  <c r="Q3" i="1"/>
  <c r="Q4" i="1"/>
  <c r="Q5" i="1"/>
  <c r="Q6" i="1"/>
  <c r="Q37" i="1"/>
  <c r="Q38" i="1"/>
  <c r="Q31" i="1"/>
  <c r="Q32" i="1"/>
  <c r="Q33" i="1"/>
  <c r="Q34" i="1"/>
  <c r="Q35" i="1"/>
  <c r="Q45" i="1"/>
  <c r="Q66" i="1"/>
  <c r="Q67" i="1"/>
  <c r="Q73" i="1"/>
  <c r="Q74" i="1"/>
  <c r="Q75" i="1"/>
  <c r="Q76" i="1"/>
  <c r="Q77" i="1"/>
  <c r="Q78" i="1"/>
  <c r="Q82" i="1"/>
  <c r="Q83" i="1"/>
  <c r="Q84" i="1"/>
  <c r="Q85" i="1"/>
  <c r="Q130" i="1"/>
  <c r="Q138" i="1"/>
  <c r="Q139" i="1"/>
  <c r="Q140" i="1"/>
  <c r="Q141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Z4" i="1"/>
  <c r="AA4" i="1" s="1"/>
  <c r="AB4" i="1" s="1"/>
  <c r="Y5" i="1"/>
  <c r="Z5" i="1" s="1"/>
  <c r="AA5" i="1" s="1"/>
  <c r="AB5" i="1" s="1"/>
  <c r="Y7" i="1"/>
  <c r="Z7" i="1" s="1"/>
  <c r="AA7" i="1" s="1"/>
  <c r="Y8" i="1"/>
  <c r="Z8" i="1" s="1"/>
  <c r="AA8" i="1" s="1"/>
  <c r="Y14" i="1"/>
  <c r="Z14" i="1" s="1"/>
  <c r="AA14" i="1" s="1"/>
  <c r="Y15" i="1"/>
  <c r="Z15" i="1" s="1"/>
  <c r="AA15" i="1" s="1"/>
  <c r="Y16" i="1"/>
  <c r="Z16" i="1" s="1"/>
  <c r="AA16" i="1" s="1"/>
  <c r="Y17" i="1"/>
  <c r="Z17" i="1" s="1"/>
  <c r="AA17" i="1" s="1"/>
  <c r="Y18" i="1"/>
  <c r="Z18" i="1" s="1"/>
  <c r="AA18" i="1" s="1"/>
  <c r="Y20" i="1"/>
  <c r="Z20" i="1" s="1"/>
  <c r="AA20" i="1" s="1"/>
  <c r="Y21" i="1"/>
  <c r="Z21" i="1" s="1"/>
  <c r="AA21" i="1" s="1"/>
  <c r="Y22" i="1"/>
  <c r="Z22" i="1" s="1"/>
  <c r="AA22" i="1" s="1"/>
  <c r="Y23" i="1"/>
  <c r="Z23" i="1" s="1"/>
  <c r="AA23" i="1" s="1"/>
  <c r="Y24" i="1"/>
  <c r="Z24" i="1" s="1"/>
  <c r="AA24" i="1" s="1"/>
  <c r="Y25" i="1"/>
  <c r="Z25" i="1" s="1"/>
  <c r="AA25" i="1" s="1"/>
  <c r="Y26" i="1"/>
  <c r="Z26" i="1" s="1"/>
  <c r="AA26" i="1" s="1"/>
  <c r="Y27" i="1"/>
  <c r="Z27" i="1" s="1"/>
  <c r="AA27" i="1" s="1"/>
  <c r="Y36" i="1"/>
  <c r="Z36" i="1" s="1"/>
  <c r="AA36" i="1" s="1"/>
  <c r="Y37" i="1"/>
  <c r="Z37" i="1" s="1"/>
  <c r="AA37" i="1" s="1"/>
  <c r="Y38" i="1"/>
  <c r="Z38" i="1" s="1"/>
  <c r="AA38" i="1" s="1"/>
  <c r="Y39" i="1"/>
  <c r="Z39" i="1" s="1"/>
  <c r="AA39" i="1" s="1"/>
  <c r="Y31" i="1"/>
  <c r="Z31" i="1" s="1"/>
  <c r="AA31" i="1" s="1"/>
  <c r="Y32" i="1"/>
  <c r="Z32" i="1" s="1"/>
  <c r="AA32" i="1" s="1"/>
  <c r="Y33" i="1"/>
  <c r="Z33" i="1" s="1"/>
  <c r="AA33" i="1" s="1"/>
  <c r="Y34" i="1"/>
  <c r="Z34" i="1" s="1"/>
  <c r="AA34" i="1" s="1"/>
  <c r="Y35" i="1"/>
  <c r="Z35" i="1" s="1"/>
  <c r="AA35" i="1" s="1"/>
  <c r="Y42" i="1"/>
  <c r="Z42" i="1" s="1"/>
  <c r="AA42" i="1" s="1"/>
  <c r="Y43" i="1"/>
  <c r="Z43" i="1" s="1"/>
  <c r="AA43" i="1" s="1"/>
  <c r="Y44" i="1"/>
  <c r="Z44" i="1" s="1"/>
  <c r="AA44" i="1" s="1"/>
  <c r="Y45" i="1"/>
  <c r="Z45" i="1" s="1"/>
  <c r="AA45" i="1" s="1"/>
  <c r="Y46" i="1"/>
  <c r="Z46" i="1" s="1"/>
  <c r="AA46" i="1" s="1"/>
  <c r="Y47" i="1"/>
  <c r="Z47" i="1" s="1"/>
  <c r="AA47" i="1" s="1"/>
  <c r="Y51" i="1"/>
  <c r="Z51" i="1" s="1"/>
  <c r="AA51" i="1" s="1"/>
  <c r="Y52" i="1"/>
  <c r="Z52" i="1" s="1"/>
  <c r="AA52" i="1" s="1"/>
  <c r="Y53" i="1"/>
  <c r="Z53" i="1" s="1"/>
  <c r="AA53" i="1" s="1"/>
  <c r="Y54" i="1"/>
  <c r="Z54" i="1" s="1"/>
  <c r="AA54" i="1" s="1"/>
  <c r="Y55" i="1"/>
  <c r="Z55" i="1" s="1"/>
  <c r="AA55" i="1" s="1"/>
  <c r="Y56" i="1"/>
  <c r="Z56" i="1" s="1"/>
  <c r="AA56" i="1" s="1"/>
  <c r="Y57" i="1"/>
  <c r="Z57" i="1" s="1"/>
  <c r="AA57" i="1" s="1"/>
  <c r="Y58" i="1"/>
  <c r="Z58" i="1" s="1"/>
  <c r="AA58" i="1" s="1"/>
  <c r="Y59" i="1"/>
  <c r="Z59" i="1" s="1"/>
  <c r="AA59" i="1" s="1"/>
  <c r="Y60" i="1"/>
  <c r="Z60" i="1" s="1"/>
  <c r="AA60" i="1" s="1"/>
  <c r="Y63" i="1"/>
  <c r="Z63" i="1" s="1"/>
  <c r="AA63" i="1" s="1"/>
  <c r="Y64" i="1"/>
  <c r="Z64" i="1" s="1"/>
  <c r="AA64" i="1" s="1"/>
  <c r="Y65" i="1"/>
  <c r="Z65" i="1" s="1"/>
  <c r="AA65" i="1" s="1"/>
  <c r="Y66" i="1"/>
  <c r="Z66" i="1" s="1"/>
  <c r="AA66" i="1" s="1"/>
  <c r="Y67" i="1"/>
  <c r="Z67" i="1" s="1"/>
  <c r="AA67" i="1" s="1"/>
  <c r="Y71" i="1"/>
  <c r="Z71" i="1" s="1"/>
  <c r="AA71" i="1" s="1"/>
  <c r="Y72" i="1"/>
  <c r="Z72" i="1" s="1"/>
  <c r="AA72" i="1" s="1"/>
  <c r="Y73" i="1"/>
  <c r="Z73" i="1" s="1"/>
  <c r="AA73" i="1" s="1"/>
  <c r="Y74" i="1"/>
  <c r="Z74" i="1" s="1"/>
  <c r="AA74" i="1" s="1"/>
  <c r="Y75" i="1"/>
  <c r="Z75" i="1" s="1"/>
  <c r="AA75" i="1" s="1"/>
  <c r="Y76" i="1"/>
  <c r="Z76" i="1" s="1"/>
  <c r="AA76" i="1" s="1"/>
  <c r="Y77" i="1"/>
  <c r="Z77" i="1" s="1"/>
  <c r="AA77" i="1" s="1"/>
  <c r="Y78" i="1"/>
  <c r="Z78" i="1" s="1"/>
  <c r="AA78" i="1" s="1"/>
  <c r="Y79" i="1"/>
  <c r="Z79" i="1" s="1"/>
  <c r="AA79" i="1" s="1"/>
  <c r="Y80" i="1"/>
  <c r="Z80" i="1" s="1"/>
  <c r="AA80" i="1" s="1"/>
  <c r="Z82" i="1"/>
  <c r="AA82" i="1" s="1"/>
  <c r="Y83" i="1"/>
  <c r="Z83" i="1" s="1"/>
  <c r="AA83" i="1" s="1"/>
  <c r="Z84" i="1"/>
  <c r="AA84" i="1" s="1"/>
  <c r="Z85" i="1"/>
  <c r="AA85" i="1" s="1"/>
  <c r="Y86" i="1"/>
  <c r="Z86" i="1" s="1"/>
  <c r="AA86" i="1" s="1"/>
  <c r="Z87" i="1"/>
  <c r="AA87" i="1" s="1"/>
  <c r="Y93" i="1"/>
  <c r="Z93" i="1" s="1"/>
  <c r="AA93" i="1" s="1"/>
  <c r="Y94" i="1"/>
  <c r="Z94" i="1" s="1"/>
  <c r="AA94" i="1" s="1"/>
  <c r="Y95" i="1"/>
  <c r="Z95" i="1" s="1"/>
  <c r="AA95" i="1" s="1"/>
  <c r="Y99" i="1"/>
  <c r="Z99" i="1" s="1"/>
  <c r="AA99" i="1" s="1"/>
  <c r="Y102" i="1"/>
  <c r="Z102" i="1" s="1"/>
  <c r="Y113" i="1"/>
  <c r="Z113" i="1" s="1"/>
  <c r="AA113" i="1" s="1"/>
  <c r="Y114" i="1"/>
  <c r="Z114" i="1" s="1"/>
  <c r="AA114" i="1" s="1"/>
  <c r="Y115" i="1"/>
  <c r="Z115" i="1" s="1"/>
  <c r="AA115" i="1" s="1"/>
  <c r="Y119" i="1"/>
  <c r="Z119" i="1" s="1"/>
  <c r="AA119" i="1" s="1"/>
  <c r="Y120" i="1"/>
  <c r="Z120" i="1" s="1"/>
  <c r="AA120" i="1" s="1"/>
  <c r="Y121" i="1"/>
  <c r="Z121" i="1" s="1"/>
  <c r="AA121" i="1" s="1"/>
  <c r="Y122" i="1"/>
  <c r="Z122" i="1" s="1"/>
  <c r="AA122" i="1" s="1"/>
  <c r="Y123" i="1"/>
  <c r="Z123" i="1" s="1"/>
  <c r="AA123" i="1" s="1"/>
  <c r="Y124" i="1"/>
  <c r="Z124" i="1" s="1"/>
  <c r="AA124" i="1" s="1"/>
  <c r="Y128" i="1"/>
  <c r="Z128" i="1" s="1"/>
  <c r="AA128" i="1" s="1"/>
  <c r="Y129" i="1"/>
  <c r="Z129" i="1" s="1"/>
  <c r="AA129" i="1" s="1"/>
  <c r="Y130" i="1"/>
  <c r="Z130" i="1" s="1"/>
  <c r="AA130" i="1" s="1"/>
  <c r="Y131" i="1"/>
  <c r="Z131" i="1" s="1"/>
  <c r="AA131" i="1" s="1"/>
  <c r="Y132" i="1"/>
  <c r="Z132" i="1" s="1"/>
  <c r="AA132" i="1" s="1"/>
  <c r="Y133" i="1"/>
  <c r="Z133" i="1" s="1"/>
  <c r="AA133" i="1" s="1"/>
  <c r="Y134" i="1"/>
  <c r="Z134" i="1" s="1"/>
  <c r="AA134" i="1" s="1"/>
  <c r="Y137" i="1"/>
  <c r="Z137" i="1" s="1"/>
  <c r="AA137" i="1" s="1"/>
  <c r="Y138" i="1"/>
  <c r="Z138" i="1" s="1"/>
  <c r="AA138" i="1" s="1"/>
  <c r="Y139" i="1"/>
  <c r="Z139" i="1" s="1"/>
  <c r="AA139" i="1" s="1"/>
  <c r="Y140" i="1"/>
  <c r="Z140" i="1" s="1"/>
  <c r="AA140" i="1" s="1"/>
  <c r="Y141" i="1"/>
  <c r="Z141" i="1" s="1"/>
  <c r="AA141" i="1" s="1"/>
  <c r="Y142" i="1"/>
  <c r="Z142" i="1" s="1"/>
  <c r="AA142" i="1" s="1"/>
  <c r="Y143" i="1"/>
  <c r="Z143" i="1" s="1"/>
  <c r="AA143" i="1" s="1"/>
  <c r="Y144" i="1"/>
  <c r="Z144" i="1" s="1"/>
  <c r="AA144" i="1" s="1"/>
  <c r="Y145" i="1"/>
  <c r="Z145" i="1" s="1"/>
  <c r="AA145" i="1" s="1"/>
  <c r="Y146" i="1"/>
  <c r="Z146" i="1" s="1"/>
  <c r="AA146" i="1" s="1"/>
  <c r="Y147" i="1"/>
  <c r="Z147" i="1" s="1"/>
  <c r="AA147" i="1" s="1"/>
  <c r="Y148" i="1"/>
  <c r="Z148" i="1" s="1"/>
  <c r="AA148" i="1" s="1"/>
  <c r="Y149" i="1"/>
  <c r="Z149" i="1" s="1"/>
  <c r="AA149" i="1" s="1"/>
  <c r="Y150" i="1"/>
  <c r="Z150" i="1" s="1"/>
  <c r="AA150" i="1" s="1"/>
  <c r="Y151" i="1"/>
  <c r="Z151" i="1" s="1"/>
  <c r="AA151" i="1" s="1"/>
  <c r="Y152" i="1"/>
  <c r="Z152" i="1" s="1"/>
  <c r="AA152" i="1" s="1"/>
  <c r="Y153" i="1"/>
  <c r="Z153" i="1" s="1"/>
  <c r="AA153" i="1" s="1"/>
  <c r="Y154" i="1"/>
  <c r="Z154" i="1" s="1"/>
  <c r="AA154" i="1" s="1"/>
  <c r="Y155" i="1"/>
  <c r="Z155" i="1" s="1"/>
  <c r="AA155" i="1" s="1"/>
  <c r="Y156" i="1"/>
  <c r="Z156" i="1" s="1"/>
  <c r="AA156" i="1" s="1"/>
  <c r="Y157" i="1"/>
  <c r="Z157" i="1" s="1"/>
  <c r="AA157" i="1" s="1"/>
  <c r="Z158" i="1"/>
  <c r="AA158" i="1" s="1"/>
  <c r="Y159" i="1"/>
  <c r="Z159" i="1" s="1"/>
  <c r="AA159" i="1" s="1"/>
  <c r="Y160" i="1"/>
  <c r="Z160" i="1" s="1"/>
  <c r="AA160" i="1" s="1"/>
  <c r="Y161" i="1"/>
  <c r="Z161" i="1" s="1"/>
  <c r="AA161" i="1" s="1"/>
  <c r="Y162" i="1"/>
  <c r="Z162" i="1" s="1"/>
  <c r="AA162" i="1" s="1"/>
  <c r="Y163" i="1"/>
  <c r="Z163" i="1" s="1"/>
  <c r="AA163" i="1" s="1"/>
  <c r="Y174" i="1"/>
  <c r="Z174" i="1" s="1"/>
  <c r="J28" i="1"/>
  <c r="J29" i="1"/>
  <c r="J30" i="1"/>
  <c r="P178" i="1" l="1"/>
  <c r="P177" i="1"/>
  <c r="P176" i="1"/>
  <c r="P175" i="1"/>
  <c r="T178" i="1"/>
  <c r="T177" i="1"/>
  <c r="T176" i="1"/>
  <c r="T175" i="1"/>
  <c r="W179" i="1"/>
  <c r="W178" i="1"/>
  <c r="W177" i="1"/>
  <c r="W176" i="1"/>
  <c r="W175" i="1"/>
  <c r="G179" i="1"/>
  <c r="G178" i="1"/>
  <c r="G177" i="1"/>
  <c r="G176" i="1"/>
  <c r="G175" i="1"/>
  <c r="X175" i="1" l="1"/>
  <c r="Y176" i="1"/>
  <c r="Y178" i="1"/>
  <c r="Y175" i="1"/>
  <c r="Y179" i="1"/>
  <c r="X177" i="1"/>
  <c r="Y177" i="1"/>
  <c r="X176" i="1"/>
  <c r="X178" i="1"/>
  <c r="J87" i="1" l="1"/>
  <c r="J80" i="1"/>
  <c r="J102" i="1"/>
  <c r="J99" i="1"/>
  <c r="J93" i="1"/>
  <c r="J94" i="1"/>
  <c r="J95" i="1"/>
  <c r="J150" i="1"/>
  <c r="J149" i="1"/>
  <c r="J130" i="1"/>
  <c r="J54" i="1" l="1"/>
  <c r="J53" i="1"/>
  <c r="J52" i="1"/>
  <c r="J51" i="1"/>
  <c r="J67" i="1"/>
  <c r="J66" i="1"/>
  <c r="J65" i="1"/>
  <c r="J58" i="1"/>
  <c r="J57" i="1"/>
  <c r="J55" i="1"/>
  <c r="J56" i="1"/>
  <c r="J163" i="1" l="1"/>
  <c r="J21" i="1" l="1"/>
  <c r="J22" i="1"/>
  <c r="J20" i="1"/>
  <c r="J26" i="1" l="1"/>
  <c r="J27" i="1"/>
  <c r="J36" i="1"/>
  <c r="J37" i="1"/>
  <c r="J38" i="1"/>
  <c r="J39" i="1"/>
  <c r="J31" i="1"/>
  <c r="J32" i="1"/>
  <c r="J33" i="1"/>
  <c r="J34" i="1"/>
  <c r="J35" i="1"/>
  <c r="J42" i="1"/>
  <c r="J43" i="1"/>
  <c r="J44" i="1"/>
  <c r="J45" i="1"/>
  <c r="J46" i="1"/>
  <c r="J47" i="1"/>
  <c r="J59" i="1"/>
  <c r="J60" i="1"/>
  <c r="J62" i="1"/>
  <c r="J174" i="1" l="1"/>
  <c r="A5" i="3"/>
  <c r="A6" i="3"/>
  <c r="A7" i="3"/>
  <c r="A4" i="3"/>
  <c r="A8" i="3"/>
  <c r="O176" i="1"/>
  <c r="S177" i="1"/>
  <c r="R177" i="1"/>
  <c r="S178" i="1"/>
  <c r="S175" i="1"/>
  <c r="R178" i="1"/>
  <c r="R175" i="1"/>
  <c r="S176" i="1"/>
  <c r="R176" i="1"/>
  <c r="E179" i="1"/>
  <c r="E178" i="1"/>
  <c r="E177" i="1"/>
  <c r="E176" i="1"/>
  <c r="E175" i="1"/>
  <c r="J129" i="1" l="1"/>
  <c r="J23" i="1"/>
  <c r="J7" i="1" l="1"/>
  <c r="H176" i="1" l="1"/>
  <c r="A187" i="1" l="1"/>
  <c r="O175" i="1"/>
  <c r="J148" i="1"/>
  <c r="J24" i="1"/>
  <c r="O178" i="1"/>
  <c r="I177" i="1"/>
  <c r="I178" i="1"/>
  <c r="I176" i="1"/>
  <c r="I175" i="1"/>
  <c r="I179" i="1"/>
  <c r="J25" i="1"/>
  <c r="O177" i="1" l="1"/>
  <c r="Z178" i="1" l="1"/>
  <c r="Z177" i="1"/>
  <c r="Z176" i="1"/>
  <c r="Z175" i="1"/>
  <c r="J122" i="1"/>
  <c r="J128" i="1"/>
  <c r="J124" i="1"/>
  <c r="J123" i="1"/>
  <c r="H179" i="1" l="1"/>
  <c r="H178" i="1"/>
  <c r="H177" i="1"/>
  <c r="H175" i="1"/>
  <c r="J64" i="1" l="1"/>
  <c r="J6" i="1" l="1"/>
  <c r="N178" i="1" l="1"/>
  <c r="N177" i="1"/>
  <c r="N176" i="1"/>
  <c r="N175" i="1"/>
  <c r="M178" i="1"/>
  <c r="M177" i="1"/>
  <c r="M176" i="1"/>
  <c r="M175" i="1"/>
  <c r="L178" i="1"/>
  <c r="L177" i="1"/>
  <c r="L176" i="1"/>
  <c r="L175" i="1"/>
  <c r="K178" i="1"/>
  <c r="K177" i="1"/>
  <c r="K176" i="1"/>
  <c r="K175" i="1"/>
  <c r="F179" i="1"/>
  <c r="F178" i="1"/>
  <c r="F177" i="1"/>
  <c r="F176" i="1"/>
  <c r="F175" i="1"/>
  <c r="A184" i="1"/>
  <c r="K179" i="1"/>
  <c r="M179" i="1"/>
  <c r="N179" i="1"/>
  <c r="O179" i="1"/>
  <c r="D191" i="1"/>
  <c r="D190" i="1" s="1"/>
  <c r="U105" i="1"/>
  <c r="V105" i="1" l="1"/>
  <c r="U40" i="1"/>
  <c r="V40" i="1" s="1"/>
  <c r="AB40" i="1" s="1"/>
  <c r="U116" i="1"/>
  <c r="V116" i="1" s="1"/>
  <c r="AB116" i="1" s="1"/>
  <c r="U104" i="1"/>
  <c r="V104" i="1" s="1"/>
  <c r="U61" i="1"/>
  <c r="V61" i="1" s="1"/>
  <c r="AB61" i="1" s="1"/>
  <c r="U11" i="1"/>
  <c r="V11" i="1" s="1"/>
  <c r="AB11" i="1" s="1"/>
  <c r="U12" i="1"/>
  <c r="V12" i="1" s="1"/>
  <c r="AB12" i="1" s="1"/>
  <c r="U50" i="1"/>
  <c r="V50" i="1" s="1"/>
  <c r="AB50" i="1" s="1"/>
  <c r="U13" i="1"/>
  <c r="V13" i="1" s="1"/>
  <c r="AB13" i="1" s="1"/>
  <c r="U70" i="1"/>
  <c r="V70" i="1" s="1"/>
  <c r="AB70" i="1" s="1"/>
  <c r="U69" i="1"/>
  <c r="V69" i="1" s="1"/>
  <c r="AB69" i="1" s="1"/>
  <c r="U19" i="1"/>
  <c r="V19" i="1" s="1"/>
  <c r="AB19" i="1" s="1"/>
  <c r="U136" i="1"/>
  <c r="V136" i="1" s="1"/>
  <c r="AB136" i="1" s="1"/>
  <c r="U135" i="1"/>
  <c r="V135" i="1" s="1"/>
  <c r="AB135" i="1" s="1"/>
  <c r="U41" i="1"/>
  <c r="V41" i="1" s="1"/>
  <c r="AB41" i="1" s="1"/>
  <c r="U100" i="1"/>
  <c r="V100" i="1" s="1"/>
  <c r="AB100" i="1" s="1"/>
  <c r="U49" i="1"/>
  <c r="V49" i="1" s="1"/>
  <c r="AB49" i="1" s="1"/>
  <c r="U97" i="1"/>
  <c r="V97" i="1" s="1"/>
  <c r="AB97" i="1" s="1"/>
  <c r="U96" i="1"/>
  <c r="V96" i="1" s="1"/>
  <c r="AB96" i="1" s="1"/>
  <c r="U98" i="1"/>
  <c r="V98" i="1" s="1"/>
  <c r="AB98" i="1" s="1"/>
  <c r="U101" i="1"/>
  <c r="V101" i="1" s="1"/>
  <c r="U92" i="1"/>
  <c r="V92" i="1" s="1"/>
  <c r="AB92" i="1" s="1"/>
  <c r="U90" i="1"/>
  <c r="V90" i="1" s="1"/>
  <c r="AB90" i="1" s="1"/>
  <c r="U91" i="1"/>
  <c r="V91" i="1" s="1"/>
  <c r="AB91" i="1" s="1"/>
  <c r="U55" i="1"/>
  <c r="V55" i="1" s="1"/>
  <c r="AB55" i="1" s="1"/>
  <c r="U56" i="1"/>
  <c r="V56" i="1" s="1"/>
  <c r="AB56" i="1" s="1"/>
  <c r="U47" i="1"/>
  <c r="V47" i="1" s="1"/>
  <c r="AB47" i="1" s="1"/>
  <c r="U10" i="1"/>
  <c r="V10" i="1" s="1"/>
  <c r="AB10" i="1" s="1"/>
  <c r="U9" i="1"/>
  <c r="V9" i="1" s="1"/>
  <c r="AB9" i="1" s="1"/>
  <c r="U137" i="1"/>
  <c r="V137" i="1" s="1"/>
  <c r="AB137" i="1" s="1"/>
  <c r="U30" i="1"/>
  <c r="V30" i="1" s="1"/>
  <c r="AB30" i="1" s="1"/>
  <c r="U29" i="1"/>
  <c r="V29" i="1" s="1"/>
  <c r="AB29" i="1" s="1"/>
  <c r="U28" i="1"/>
  <c r="V28" i="1" s="1"/>
  <c r="AB28" i="1" s="1"/>
  <c r="U119" i="1"/>
  <c r="V119" i="1" s="1"/>
  <c r="AB119" i="1" s="1"/>
  <c r="U122" i="1"/>
  <c r="V122" i="1" s="1"/>
  <c r="AB122" i="1" s="1"/>
  <c r="U120" i="1"/>
  <c r="V120" i="1" s="1"/>
  <c r="AB120" i="1" s="1"/>
  <c r="U123" i="1"/>
  <c r="V123" i="1" s="1"/>
  <c r="AB123" i="1" s="1"/>
  <c r="U124" i="1"/>
  <c r="V124" i="1" s="1"/>
  <c r="AB124" i="1" s="1"/>
  <c r="U128" i="1"/>
  <c r="V128" i="1" s="1"/>
  <c r="AB128" i="1" s="1"/>
  <c r="U121" i="1"/>
  <c r="V121" i="1" s="1"/>
  <c r="AB121" i="1" s="1"/>
  <c r="U99" i="1"/>
  <c r="V99" i="1" s="1"/>
  <c r="AB99" i="1" s="1"/>
  <c r="U7" i="1"/>
  <c r="U8" i="1"/>
  <c r="V8" i="1" s="1"/>
  <c r="AB8" i="1" s="1"/>
  <c r="U80" i="1"/>
  <c r="V80" i="1" s="1"/>
  <c r="AB80" i="1" s="1"/>
  <c r="U87" i="1"/>
  <c r="V87" i="1" s="1"/>
  <c r="AB87" i="1" s="1"/>
  <c r="U94" i="1"/>
  <c r="V94" i="1" s="1"/>
  <c r="AB94" i="1" s="1"/>
  <c r="V102" i="1"/>
  <c r="U95" i="1"/>
  <c r="V95" i="1" s="1"/>
  <c r="AB95" i="1" s="1"/>
  <c r="U93" i="1"/>
  <c r="V93" i="1" s="1"/>
  <c r="AB93" i="1" s="1"/>
  <c r="U149" i="1"/>
  <c r="V149" i="1" s="1"/>
  <c r="AB149" i="1" s="1"/>
  <c r="U150" i="1"/>
  <c r="V150" i="1" s="1"/>
  <c r="AB150" i="1" s="1"/>
  <c r="U54" i="1"/>
  <c r="V54" i="1" s="1"/>
  <c r="AB54" i="1" s="1"/>
  <c r="U130" i="1"/>
  <c r="V130" i="1" s="1"/>
  <c r="AB130" i="1" s="1"/>
  <c r="U53" i="1"/>
  <c r="V53" i="1" s="1"/>
  <c r="AB53" i="1" s="1"/>
  <c r="U52" i="1"/>
  <c r="V52" i="1" s="1"/>
  <c r="AB52" i="1" s="1"/>
  <c r="U51" i="1"/>
  <c r="V51" i="1" s="1"/>
  <c r="AB51" i="1" s="1"/>
  <c r="U67" i="1"/>
  <c r="V67" i="1" s="1"/>
  <c r="AB67" i="1" s="1"/>
  <c r="U65" i="1"/>
  <c r="V65" i="1" s="1"/>
  <c r="AB65" i="1" s="1"/>
  <c r="U66" i="1"/>
  <c r="V66" i="1" s="1"/>
  <c r="AB66" i="1" s="1"/>
  <c r="U58" i="1"/>
  <c r="V58" i="1" s="1"/>
  <c r="AB58" i="1" s="1"/>
  <c r="U57" i="1"/>
  <c r="V57" i="1" s="1"/>
  <c r="AB57" i="1" s="1"/>
  <c r="U163" i="1"/>
  <c r="V163" i="1" s="1"/>
  <c r="AB163" i="1" s="1"/>
  <c r="U21" i="1"/>
  <c r="V21" i="1" s="1"/>
  <c r="AB21" i="1" s="1"/>
  <c r="U20" i="1"/>
  <c r="V20" i="1" s="1"/>
  <c r="AB20" i="1" s="1"/>
  <c r="U22" i="1"/>
  <c r="V22" i="1" s="1"/>
  <c r="AB22" i="1" s="1"/>
  <c r="U26" i="1"/>
  <c r="V26" i="1" s="1"/>
  <c r="AB26" i="1" s="1"/>
  <c r="U31" i="1"/>
  <c r="V31" i="1" s="1"/>
  <c r="AB31" i="1" s="1"/>
  <c r="U32" i="1"/>
  <c r="V32" i="1" s="1"/>
  <c r="AB32" i="1" s="1"/>
  <c r="U33" i="1"/>
  <c r="V33" i="1" s="1"/>
  <c r="AB33" i="1" s="1"/>
  <c r="U35" i="1"/>
  <c r="V35" i="1" s="1"/>
  <c r="AB35" i="1" s="1"/>
  <c r="U42" i="1"/>
  <c r="V42" i="1" s="1"/>
  <c r="AB42" i="1" s="1"/>
  <c r="U44" i="1"/>
  <c r="V44" i="1" s="1"/>
  <c r="AB44" i="1" s="1"/>
  <c r="U45" i="1"/>
  <c r="V45" i="1" s="1"/>
  <c r="AB45" i="1" s="1"/>
  <c r="U46" i="1"/>
  <c r="V46" i="1" s="1"/>
  <c r="AB46" i="1" s="1"/>
  <c r="U62" i="1"/>
  <c r="V62" i="1" s="1"/>
  <c r="AB62" i="1" s="1"/>
  <c r="U34" i="1"/>
  <c r="V34" i="1" s="1"/>
  <c r="AB34" i="1" s="1"/>
  <c r="U59" i="1"/>
  <c r="V59" i="1" s="1"/>
  <c r="AB59" i="1" s="1"/>
  <c r="U38" i="1"/>
  <c r="V38" i="1" s="1"/>
  <c r="AB38" i="1" s="1"/>
  <c r="U27" i="1"/>
  <c r="V27" i="1" s="1"/>
  <c r="AB27" i="1" s="1"/>
  <c r="U36" i="1"/>
  <c r="V36" i="1" s="1"/>
  <c r="AB36" i="1" s="1"/>
  <c r="U37" i="1"/>
  <c r="V37" i="1" s="1"/>
  <c r="AB37" i="1" s="1"/>
  <c r="U43" i="1"/>
  <c r="V43" i="1" s="1"/>
  <c r="AB43" i="1" s="1"/>
  <c r="U39" i="1"/>
  <c r="V39" i="1" s="1"/>
  <c r="AB39" i="1" s="1"/>
  <c r="U60" i="1"/>
  <c r="V60" i="1" s="1"/>
  <c r="AB60" i="1" s="1"/>
  <c r="U129" i="1"/>
  <c r="V129" i="1" s="1"/>
  <c r="AB129" i="1" s="1"/>
  <c r="U23" i="1"/>
  <c r="V23" i="1" s="1"/>
  <c r="AB23" i="1" s="1"/>
  <c r="U24" i="1"/>
  <c r="V24" i="1" s="1"/>
  <c r="AB24" i="1" s="1"/>
  <c r="U148" i="1"/>
  <c r="V148" i="1" s="1"/>
  <c r="AB148" i="1" s="1"/>
  <c r="U25" i="1"/>
  <c r="V25" i="1" s="1"/>
  <c r="AB25" i="1" s="1"/>
  <c r="U64" i="1"/>
  <c r="V64" i="1" s="1"/>
  <c r="AB64" i="1" s="1"/>
  <c r="P179" i="1"/>
  <c r="U138" i="1"/>
  <c r="V138" i="1" s="1"/>
  <c r="AB138" i="1" s="1"/>
  <c r="U139" i="1"/>
  <c r="V139" i="1" s="1"/>
  <c r="AB139" i="1" s="1"/>
  <c r="U158" i="1"/>
  <c r="V158" i="1" s="1"/>
  <c r="AB158" i="1" s="1"/>
  <c r="U140" i="1"/>
  <c r="V140" i="1" s="1"/>
  <c r="AB140" i="1" s="1"/>
  <c r="U141" i="1"/>
  <c r="V141" i="1" s="1"/>
  <c r="AB141" i="1" s="1"/>
  <c r="J158" i="1"/>
  <c r="V7" i="1" l="1"/>
  <c r="AB7" i="1" s="1"/>
  <c r="J119" i="1"/>
  <c r="J120" i="1"/>
  <c r="J121" i="1"/>
  <c r="L179" i="1" l="1"/>
  <c r="U14" i="1" l="1"/>
  <c r="U157" i="1"/>
  <c r="V157" i="1" s="1"/>
  <c r="AB157" i="1" s="1"/>
  <c r="U153" i="1"/>
  <c r="V153" i="1" s="1"/>
  <c r="AB153" i="1" s="1"/>
  <c r="U146" i="1"/>
  <c r="V146" i="1" s="1"/>
  <c r="AB146" i="1" s="1"/>
  <c r="U142" i="1"/>
  <c r="V142" i="1" s="1"/>
  <c r="AB142" i="1" s="1"/>
  <c r="U133" i="1"/>
  <c r="V133" i="1" s="1"/>
  <c r="AB133" i="1" s="1"/>
  <c r="U114" i="1"/>
  <c r="V114" i="1" s="1"/>
  <c r="AB114" i="1" s="1"/>
  <c r="U85" i="1"/>
  <c r="V85" i="1" s="1"/>
  <c r="AB85" i="1" s="1"/>
  <c r="U79" i="1"/>
  <c r="V79" i="1" s="1"/>
  <c r="AB79" i="1" s="1"/>
  <c r="U75" i="1"/>
  <c r="V75" i="1" s="1"/>
  <c r="AB75" i="1" s="1"/>
  <c r="U18" i="1"/>
  <c r="V18" i="1" s="1"/>
  <c r="AB18" i="1" s="1"/>
  <c r="U162" i="1"/>
  <c r="V162" i="1" s="1"/>
  <c r="AB162" i="1" s="1"/>
  <c r="U159" i="1"/>
  <c r="V159" i="1" s="1"/>
  <c r="AB159" i="1" s="1"/>
  <c r="U154" i="1"/>
  <c r="V154" i="1" s="1"/>
  <c r="AB154" i="1" s="1"/>
  <c r="U147" i="1"/>
  <c r="V147" i="1" s="1"/>
  <c r="AB147" i="1" s="1"/>
  <c r="U143" i="1"/>
  <c r="V143" i="1" s="1"/>
  <c r="AB143" i="1" s="1"/>
  <c r="U86" i="1"/>
  <c r="V86" i="1" s="1"/>
  <c r="AB86" i="1" s="1"/>
  <c r="U76" i="1"/>
  <c r="V76" i="1" s="1"/>
  <c r="AB76" i="1" s="1"/>
  <c r="U161" i="1"/>
  <c r="V161" i="1" s="1"/>
  <c r="AB161" i="1" s="1"/>
  <c r="U156" i="1"/>
  <c r="V156" i="1" s="1"/>
  <c r="AB156" i="1" s="1"/>
  <c r="U152" i="1"/>
  <c r="V152" i="1" s="1"/>
  <c r="AB152" i="1" s="1"/>
  <c r="U145" i="1"/>
  <c r="V145" i="1" s="1"/>
  <c r="AB145" i="1" s="1"/>
  <c r="U132" i="1"/>
  <c r="V132" i="1" s="1"/>
  <c r="AB132" i="1" s="1"/>
  <c r="U113" i="1"/>
  <c r="V113" i="1" s="1"/>
  <c r="AB113" i="1" s="1"/>
  <c r="U84" i="1"/>
  <c r="V84" i="1" s="1"/>
  <c r="AB84" i="1" s="1"/>
  <c r="U78" i="1"/>
  <c r="V78" i="1" s="1"/>
  <c r="AB78" i="1" s="1"/>
  <c r="U74" i="1"/>
  <c r="V74" i="1" s="1"/>
  <c r="AB74" i="1" s="1"/>
  <c r="U72" i="1"/>
  <c r="V72" i="1" s="1"/>
  <c r="AB72" i="1" s="1"/>
  <c r="U63" i="1"/>
  <c r="V63" i="1" s="1"/>
  <c r="AB63" i="1" s="1"/>
  <c r="U17" i="1"/>
  <c r="V17" i="1" s="1"/>
  <c r="AB17" i="1" s="1"/>
  <c r="U115" i="1"/>
  <c r="V115" i="1" s="1"/>
  <c r="AB115" i="1" s="1"/>
  <c r="U82" i="1"/>
  <c r="V82" i="1" s="1"/>
  <c r="AB82" i="1" s="1"/>
  <c r="U15" i="1"/>
  <c r="V15" i="1" s="1"/>
  <c r="AB15" i="1" s="1"/>
  <c r="U160" i="1"/>
  <c r="V160" i="1" s="1"/>
  <c r="AB160" i="1" s="1"/>
  <c r="U155" i="1"/>
  <c r="V155" i="1" s="1"/>
  <c r="AB155" i="1" s="1"/>
  <c r="U151" i="1"/>
  <c r="V151" i="1" s="1"/>
  <c r="AB151" i="1" s="1"/>
  <c r="U144" i="1"/>
  <c r="V144" i="1" s="1"/>
  <c r="AB144" i="1" s="1"/>
  <c r="U134" i="1"/>
  <c r="V134" i="1" s="1"/>
  <c r="AB134" i="1" s="1"/>
  <c r="U131" i="1"/>
  <c r="V131" i="1" s="1"/>
  <c r="AB131" i="1" s="1"/>
  <c r="U89" i="1"/>
  <c r="V89" i="1" s="1"/>
  <c r="AB89" i="1" s="1"/>
  <c r="U83" i="1"/>
  <c r="V83" i="1" s="1"/>
  <c r="AB83" i="1" s="1"/>
  <c r="U77" i="1"/>
  <c r="V77" i="1" s="1"/>
  <c r="AB77" i="1" s="1"/>
  <c r="U73" i="1"/>
  <c r="V73" i="1" s="1"/>
  <c r="AB73" i="1" s="1"/>
  <c r="U71" i="1"/>
  <c r="V71" i="1" s="1"/>
  <c r="AB71" i="1" s="1"/>
  <c r="U16" i="1"/>
  <c r="V16" i="1" s="1"/>
  <c r="AB16" i="1" s="1"/>
  <c r="U175" i="1" l="1"/>
  <c r="U176" i="1"/>
  <c r="U178" i="1"/>
  <c r="U177" i="1"/>
  <c r="V14" i="1"/>
  <c r="AB14" i="1" s="1"/>
  <c r="U179" i="1"/>
  <c r="V179" i="1" l="1"/>
  <c r="V178" i="1"/>
  <c r="V176" i="1"/>
  <c r="V175" i="1"/>
  <c r="V177" i="1"/>
  <c r="S179" i="1"/>
  <c r="J3" i="1"/>
  <c r="J4" i="1"/>
  <c r="J5" i="1"/>
  <c r="J8" i="1"/>
  <c r="J14" i="1"/>
  <c r="J15" i="1"/>
  <c r="J16" i="1"/>
  <c r="J17" i="1"/>
  <c r="J18" i="1"/>
  <c r="J63" i="1"/>
  <c r="J71" i="1"/>
  <c r="J72" i="1"/>
  <c r="J73" i="1"/>
  <c r="J74" i="1"/>
  <c r="J75" i="1"/>
  <c r="J76" i="1"/>
  <c r="J77" i="1"/>
  <c r="J78" i="1"/>
  <c r="J79" i="1"/>
  <c r="J82" i="1"/>
  <c r="J83" i="1"/>
  <c r="J84" i="1"/>
  <c r="J85" i="1"/>
  <c r="J86" i="1"/>
  <c r="J89" i="1"/>
  <c r="J113" i="1"/>
  <c r="J114" i="1"/>
  <c r="J115" i="1"/>
  <c r="J131" i="1"/>
  <c r="J132" i="1"/>
  <c r="J133" i="1"/>
  <c r="J134" i="1"/>
  <c r="J137" i="1"/>
  <c r="J138" i="1"/>
  <c r="J139" i="1"/>
  <c r="J140" i="1"/>
  <c r="J141" i="1"/>
  <c r="J142" i="1"/>
  <c r="J143" i="1"/>
  <c r="J144" i="1"/>
  <c r="J145" i="1"/>
  <c r="J146" i="1"/>
  <c r="J147" i="1"/>
  <c r="J151" i="1"/>
  <c r="J152" i="1"/>
  <c r="J153" i="1"/>
  <c r="J154" i="1"/>
  <c r="J155" i="1"/>
  <c r="J156" i="1"/>
  <c r="J157" i="1"/>
  <c r="J159" i="1"/>
  <c r="J160" i="1"/>
  <c r="J161" i="1"/>
  <c r="J162" i="1"/>
  <c r="J178" i="1" l="1"/>
  <c r="J175" i="1"/>
  <c r="J179" i="1"/>
  <c r="J176" i="1"/>
  <c r="J177" i="1"/>
  <c r="T179" i="1"/>
  <c r="R179" i="1" l="1"/>
  <c r="Q176" i="1" l="1"/>
  <c r="Q177" i="1"/>
  <c r="Q175" i="1"/>
  <c r="Q178" i="1"/>
  <c r="Q179" i="1"/>
  <c r="X179" i="1" l="1"/>
  <c r="Z179" i="1"/>
  <c r="AB175" i="1" l="1"/>
  <c r="AB176" i="1"/>
  <c r="AB179" i="1"/>
  <c r="AB177" i="1"/>
  <c r="AB178" i="1"/>
  <c r="AA179" i="1"/>
  <c r="AA178" i="1"/>
  <c r="AA175" i="1"/>
  <c r="AA177" i="1"/>
  <c r="AA176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D184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5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86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7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<sst xmlns="http://schemas.openxmlformats.org/spreadsheetml/2006/main" count="721" uniqueCount="171">
  <si>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</si>
  <si>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</si>
  <si>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</si>
  <si>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</si>
  <si>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</si>
  <si>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</si>
  <si>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</si>
  <si>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</si>
  <si>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</si>
  <si>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</si>
  <si>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</si>
  <si>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</si>
  <si>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</si>
  <si>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</si>
  <si>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</si>
  <si>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</si>
  <si>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</si>
  <si>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</si>
  <si>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</si>
  <si>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</si>
  <si>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</si>
  <si>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</si>
  <si>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</si>
  <si>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</si>
  <si>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</si>
  <si>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</si>
  <si>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</si>
  <si>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</si>
  <si>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</si>
  <si>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</si>
  <si>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</si>
  <si>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</si>
  <si>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</si>
  <si>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</si>
  <si>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</si>
  <si>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</si>
  <si>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</si>
  <si>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</si>
  <si>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</si>
  <si>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</si>
  <si>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</si>
  <si>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</si>
  <si>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</si>
  <si>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</si>
  <si>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</si>
  <si>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</si>
  <si>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</si>
  <si>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</si>
  <si>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</si>
  <si>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</si>
  <si>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</si>
  <si>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</si>
  <si>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</si>
  <si>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</si>
  <si>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</si>
  <si>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</si>
  <si>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</si>
  <si>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</si>
  <si>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</si>
  <si>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</si>
  <si>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</si>
  <si>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</si>
  <si>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</si>
  <si>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</si>
  <si>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</si>
  <si>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</si>
  <si>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</si>
  <si>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</si>
  <si>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</si>
  <si>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</si>
  <si>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</si>
  <si>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</si>
  <si>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</si>
  <si>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</si>
  <si>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</si>
  <si>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</si>
  <si>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</si>
  <si>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</si>
  <si>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</si>
  <si>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</si>
  <si>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</si>
  <si>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</si>
  <si>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</si>
  <si>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</si>
  <si>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</si>
  <si>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</si>
  <si>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</si>
  <si>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</si>
  <si>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</si>
  <si>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</si>
  <si>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</si>
  <si>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</si>
  <si>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</si>
  <si>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</si>
  <si>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</si>
  <si>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</si>
  <si>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</si>
  <si>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</si>
  <si>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</si>
  <si>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</si>
  <si>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</si>
  <si>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</si>
  <si>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</si>
  <si>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</si>
  <si>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</si>
  <si>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</si>
  <si>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</si>
  <si>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</si>
  <si>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</si>
  <si>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</si>
  <si>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</si>
  <si>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</si>
  <si>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</si>
  <si>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</si>
  <si>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</si>
  <si>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</si>
  <si>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</si>
  <si>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</si>
  <si>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</si>
  <si>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</si>
  <si>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</si>
  <si>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</si>
  <si>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</si>
  <si>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</si>
  <si>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</si>
  <si>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</si>
  <si>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</si>
  <si>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</si>
  <si>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</si>
  <si>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</si>
  <si>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</si>
  <si>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</si>
  <si>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</si>
  <si>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</si>
  <si>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</si>
  <si>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</si>
  <si>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</si>
  <si>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Types</t>
  </si>
  <si>
    <t>DT01ACA</t>
  </si>
  <si>
    <t>Persistant Write Cache</t>
  </si>
  <si>
    <t>Helium Filled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</si>
  <si>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</si>
  <si>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</si>
  <si>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</si>
  <si>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</si>
  <si>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</si>
  <si>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</si>
  <si>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</si>
  <si>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</si>
  <si>
    <t>Newest Update</t>
  </si>
  <si>
    <t>DB vs. bel</t>
  </si>
  <si>
    <t>ACOUSTICS*</t>
  </si>
  <si>
    <t>HDKFB06</t>
  </si>
  <si>
    <t>Warranty</t>
  </si>
  <si>
    <t>$TB/Yr+Power</t>
  </si>
  <si>
    <t>Average of $TB/Yr+Power</t>
  </si>
  <si>
    <t>Exos X14</t>
  </si>
  <si>
    <t>MN07ACA14T</t>
  </si>
  <si>
    <t>MN07ACA12T</t>
  </si>
  <si>
    <t>MN06ACA10T</t>
  </si>
  <si>
    <t>MN05ACA800</t>
  </si>
  <si>
    <t>MN05ACA600</t>
  </si>
  <si>
    <t>MN04ACA400</t>
  </si>
  <si>
    <t>Ultrastar DC HC530</t>
  </si>
  <si>
    <t>Ultrastar DC HC520</t>
  </si>
  <si>
    <t>Ultrastar DC HC510</t>
  </si>
  <si>
    <t>Ultrastar DC HC320</t>
  </si>
  <si>
    <t>Ultrastar DC HC310</t>
  </si>
  <si>
    <t>Ultrastar DC HA210</t>
  </si>
  <si>
    <t>Ultrastar DC HC620</t>
  </si>
  <si>
    <t>MG08ACA16T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</si>
</sst>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1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44" fontId="1" fillId="4" borderId="7" xfId="0" applyNumberFormat="1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0" fontId="0" fillId="0" borderId="0" xfId="0" applyAlignment="1">
      <alignment textRotation="135"/>
    </xf>
    <xf numFmtId="0" fontId="0" fillId="0" borderId="43" xfId="0" pivotButton="1" applyBorder="1"/>
    <xf numFmtId="0" fontId="0" fillId="0" borderId="43" xfId="0" applyBorder="1"/>
    <xf numFmtId="164" fontId="0" fillId="0" borderId="43" xfId="0" applyNumberFormat="1" applyBorder="1"/>
    <xf numFmtId="2" fontId="0" fillId="0" borderId="43" xfId="0" applyNumberFormat="1" applyBorder="1" applyAlignment="1">
      <alignment horizontal="right"/>
    </xf>
    <xf numFmtId="0" fontId="0" fillId="0" borderId="43" xfId="0" pivotButton="1" applyBorder="1" applyAlignment="1">
      <alignment horizontal="center"/>
    </xf>
    <xf numFmtId="0" fontId="0" fillId="0" borderId="43" xfId="0" applyBorder="1" applyAlignment="1">
      <alignment horizontal="center"/>
    </xf>
    <xf numFmtId="2" fontId="0" fillId="0" borderId="43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3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1" fillId="4" borderId="44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169" fontId="0" fillId="0" borderId="0" xfId="0" applyNumberFormat="1"/>
    <xf numFmtId="2" fontId="0" fillId="0" borderId="43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8" fontId="4" fillId="0" borderId="49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0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1" xfId="0" applyFill="1" applyBorder="1"/>
    <xf numFmtId="0" fontId="0" fillId="14" borderId="52" xfId="0" applyFill="1" applyBorder="1"/>
    <xf numFmtId="168" fontId="0" fillId="14" borderId="52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3" xfId="0" applyNumberFormat="1" applyFont="1" applyFill="1" applyBorder="1"/>
    <xf numFmtId="44" fontId="1" fillId="4" borderId="54" xfId="0" applyNumberFormat="1" applyFont="1" applyFill="1" applyBorder="1"/>
    <xf numFmtId="0" fontId="1" fillId="4" borderId="55" xfId="0" applyFont="1" applyFill="1" applyBorder="1"/>
    <xf numFmtId="0" fontId="1" fillId="4" borderId="56" xfId="0" applyFont="1" applyFill="1" applyBorder="1"/>
    <xf numFmtId="0" fontId="1" fillId="4" borderId="57" xfId="0" applyFont="1" applyFill="1" applyBorder="1"/>
    <xf numFmtId="0" fontId="1" fillId="4" borderId="58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164" fontId="0" fillId="0" borderId="0" xfId="0" applyNumberFormat="1" applyBorder="1"/>
    <xf numFmtId="164" fontId="9" fillId="0" borderId="0" xfId="1" applyNumberFormat="1" applyBorder="1"/>
    <xf numFmtId="8" fontId="4" fillId="0" borderId="60" xfId="0" applyNumberFormat="1" applyFont="1" applyBorder="1"/>
    <xf numFmtId="8" fontId="4" fillId="0" borderId="61" xfId="0" applyNumberFormat="1" applyFont="1" applyBorder="1"/>
    <xf numFmtId="8" fontId="4" fillId="0" borderId="59" xfId="0" applyNumberFormat="1" applyFont="1" applyBorder="1"/>
    <xf numFmtId="164" fontId="0" fillId="0" borderId="62" xfId="0" applyNumberFormat="1" applyFill="1" applyBorder="1"/>
    <xf numFmtId="164" fontId="0" fillId="0" borderId="14" xfId="0" applyNumberFormat="1" applyFill="1" applyBorder="1"/>
    <xf numFmtId="164" fontId="0" fillId="0" borderId="63" xfId="0" applyNumberFormat="1" applyFill="1" applyBorder="1"/>
    <xf numFmtId="0" fontId="3" fillId="2" borderId="64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4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66" xfId="0" applyBorder="1"/>
    <xf numFmtId="0" fontId="9" fillId="0" borderId="66" xfId="1" applyBorder="1"/>
    <xf numFmtId="0" fontId="1" fillId="2" borderId="64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67" xfId="0" applyNumberFormat="1" applyFill="1" applyBorder="1"/>
    <xf numFmtId="0" fontId="0" fillId="0" borderId="22" xfId="0" applyBorder="1" applyAlignment="1">
      <alignment horizontal="center"/>
    </xf>
    <xf numFmtId="1" fontId="1" fillId="4" borderId="4" xfId="0" applyNumberFormat="1" applyFont="1" applyFill="1" applyBorder="1"/>
    <xf numFmtId="1" fontId="1" fillId="4" borderId="53" xfId="0" applyNumberFormat="1" applyFont="1" applyFill="1" applyBorder="1"/>
    <xf numFmtId="1" fontId="1" fillId="4" borderId="6" xfId="0" applyNumberFormat="1" applyFont="1" applyFill="1" applyBorder="1"/>
    <xf numFmtId="1" fontId="1" fillId="4" borderId="54" xfId="0" applyNumberFormat="1" applyFont="1" applyFill="1" applyBorder="1"/>
    <xf numFmtId="1" fontId="1" fillId="4" borderId="8" xfId="0" applyNumberFormat="1" applyFont="1" applyFill="1" applyBorder="1"/>
    <xf numFmtId="1" fontId="1" fillId="4" borderId="55" xfId="0" applyNumberFormat="1" applyFont="1" applyFill="1" applyBorder="1"/>
    <xf numFmtId="1" fontId="0" fillId="0" borderId="64" xfId="0" applyNumberFormat="1" applyFill="1" applyBorder="1"/>
    <xf numFmtId="1" fontId="0" fillId="0" borderId="65" xfId="0" applyNumberFormat="1" applyFill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1" fontId="0" fillId="0" borderId="62" xfId="0" applyNumberFormat="1" applyFill="1" applyBorder="1"/>
    <xf numFmtId="8" fontId="4" fillId="0" borderId="67" xfId="0" applyNumberFormat="1" applyFont="1" applyBorder="1"/>
    <xf numFmtId="167" fontId="0" fillId="0" borderId="23" xfId="0" applyNumberFormat="1" applyBorder="1"/>
    <xf numFmtId="164" fontId="0" fillId="0" borderId="65" xfId="0" applyNumberFormat="1" applyFill="1" applyBorder="1"/>
    <xf numFmtId="0" fontId="0" fillId="0" borderId="2" xfId="0" applyBorder="1"/>
    <xf numFmtId="14" fontId="0" fillId="0" borderId="2" xfId="0" applyNumberFormat="1" applyBorder="1"/>
    <xf numFmtId="0" fontId="9" fillId="0" borderId="2" xfId="1" applyBorder="1" applyAlignment="1">
      <alignment shrinkToFit="1"/>
    </xf>
    <xf numFmtId="0" fontId="0" fillId="0" borderId="2" xfId="0" applyBorder="1" applyAlignment="1">
      <alignment horizontal="center"/>
    </xf>
    <xf numFmtId="2" fontId="0" fillId="0" borderId="2" xfId="0" applyNumberFormat="1" applyFill="1" applyBorder="1"/>
    <xf numFmtId="3" fontId="0" fillId="0" borderId="41" xfId="0" applyNumberFormat="1" applyBorder="1"/>
    <xf numFmtId="9" fontId="0" fillId="0" borderId="2" xfId="0" applyNumberFormat="1" applyBorder="1"/>
    <xf numFmtId="1" fontId="0" fillId="0" borderId="42" xfId="0" applyNumberFormat="1" applyBorder="1"/>
    <xf numFmtId="3" fontId="0" fillId="0" borderId="2" xfId="0" applyNumberFormat="1" applyBorder="1"/>
    <xf numFmtId="2" fontId="0" fillId="0" borderId="41" xfId="0" applyNumberFormat="1" applyBorder="1"/>
    <xf numFmtId="168" fontId="0" fillId="0" borderId="2" xfId="0" applyNumberFormat="1" applyBorder="1"/>
    <xf numFmtId="8" fontId="4" fillId="0" borderId="2" xfId="0" applyNumberFormat="1" applyFont="1" applyBorder="1"/>
    <xf numFmtId="164" fontId="9" fillId="0" borderId="2" xfId="1" applyNumberFormat="1" applyBorder="1"/>
    <xf numFmtId="0" fontId="0" fillId="0" borderId="68" xfId="0" applyBorder="1"/>
    <xf numFmtId="2" fontId="0" fillId="0" borderId="2" xfId="0" applyNumberFormat="1" applyFill="1" applyBorder="1" applyAlignment="1">
      <alignment horizontal="right"/>
    </xf>
    <xf numFmtId="167" fontId="0" fillId="0" borderId="2" xfId="0" applyNumberFormat="1" applyBorder="1"/>
    <xf numFmtId="2" fontId="9" fillId="0" borderId="41" xfId="1" applyNumberFormat="1" applyBorder="1"/>
    <xf numFmtId="0" fontId="9" fillId="0" borderId="68" xfId="1" applyBorder="1"/>
    <xf numFmtId="164" fontId="0" fillId="0" borderId="67" xfId="0" applyNumberFormat="1" applyFill="1" applyBorder="1"/>
    <xf numFmtId="8" fontId="9" fillId="0" borderId="0" xfId="1" applyNumberFormat="1" applyAlignment="1">
      <alignment horizontal="right"/>
    </xf>
    <xf numFmtId="0" fontId="0" fillId="0" borderId="12" xfId="0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46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1" fillId="13" borderId="12" xfId="0" applyFont="1" applyFill="1" applyBorder="1" applyAlignment="1">
      <alignment horizontal="center" shrinkToFit="1"/>
    </xf>
    <xf numFmtId="0" fontId="0" fillId="13" borderId="25" xfId="0" applyFill="1" applyBorder="1" applyAlignment="1">
      <alignment horizontal="center" shrinkToFit="1"/>
    </xf>
    <xf numFmtId="0" fontId="0" fillId="0" borderId="13" xfId="0" applyBorder="1" applyAlignment="1">
      <alignment horizontal="center" shrinkToFit="1"/>
    </xf>
    <xf numFmtId="0" fontId="7" fillId="8" borderId="47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3" xfId="0" applyNumberFormat="1" applyFont="1" applyFill="1" applyBorder="1" applyAlignment="1">
      <alignment horizontal="center" shrinkToFit="1"/>
    </xf>
    <xf numFmtId="0" fontId="0" fillId="0" borderId="43" xfId="0" applyBorder="1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8" xfId="0" applyBorder="1" applyAlignment="1">
      <alignment horizontal="center" shrinkToFit="1"/>
    </xf>
    <xf numFmtId="164" fontId="9" fillId="0" borderId="46" xfId="1" applyNumberFormat="1" applyBorder="1"/>
  </cellXfs>
  <cellStyles count="2">
    <cellStyle name="Hyperlink" xfId="1" builtinId="8"/>
    <cellStyle name="Normal" xfId="0" builtinId="0"/>
  </cellStyles>
  <dxfs count="140"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 diagonalUp="0" diagonalDown="0" outline="0">
        <left style="medium">
          <color auto="1"/>
        </left>
        <right/>
        <top/>
        <bottom/>
      </border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auto="1"/>
        </right>
        <top/>
        <bottom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auto="1"/>
        </left>
        <right/>
        <top/>
        <bottom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auto="1"/>
        </right>
        <top/>
        <bottom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auto="1"/>
        </left>
        <right/>
        <top/>
        <bottom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auto="1"/>
        </right>
        <top/>
        <bottom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 outline="0">
        <left style="medium">
          <color auto="1"/>
        </left>
        <right/>
        <top/>
        <bottom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/>
        <right style="medium">
          <color auto="1"/>
        </right>
        <top/>
        <bottom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border diagonalUp="0" diagonalDown="0" outline="0">
        <left style="thick">
          <color auto="1"/>
        </left>
        <right/>
        <top/>
        <bottom/>
      </border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border diagonalUp="0" diagonalDown="0" outline="0">
        <left/>
        <right style="thick">
          <color auto="1"/>
        </right>
        <top/>
        <bottom/>
      </border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border diagonalUp="0" diagonalDown="0" outline="0">
        <left style="thick">
          <color auto="1"/>
        </left>
        <right/>
        <top/>
        <bottom/>
      </border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 + Power Usage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Tables!$A$6:$A$18</c:f>
              <c:strCache>
                <c:ptCount val="12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  <c:pt idx="11">
                  <c:v>16.00</c:v>
                </c:pt>
              </c:strCache>
            </c:strRef>
          </c:cat>
          <c:val>
            <c:numRef>
              <c:f>Tables!$B$6:$B$18</c:f>
              <c:numCache>
                <c:formatCode>"$"#,##0.00</c:formatCode>
                <c:ptCount val="12"/>
                <c:pt idx="0">
                  <c:v>75.631086222222208</c:v>
                </c:pt>
                <c:pt idx="1">
                  <c:v>23.815061234285711</c:v>
                </c:pt>
                <c:pt idx="2">
                  <c:v>16.167672320000001</c:v>
                </c:pt>
                <c:pt idx="3">
                  <c:v>12.449806186666667</c:v>
                </c:pt>
                <c:pt idx="4">
                  <c:v>9.6869500833333344</c:v>
                </c:pt>
                <c:pt idx="5">
                  <c:v>12.950528160000001</c:v>
                </c:pt>
                <c:pt idx="6">
                  <c:v>9.0224571466666674</c:v>
                </c:pt>
                <c:pt idx="7">
                  <c:v>8.0020101599999993</c:v>
                </c:pt>
                <c:pt idx="8">
                  <c:v>8.2570651551999994</c:v>
                </c:pt>
                <c:pt idx="9">
                  <c:v>8.0389428533333334</c:v>
                </c:pt>
                <c:pt idx="10">
                  <c:v>8.4669662742857152</c:v>
                </c:pt>
                <c:pt idx="11">
                  <c:v>#N/A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720-468E-B9E2-FA363B6992F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2239096"/>
        <c:axId val="172236744"/>
      </c:barChart>
      <c:catAx>
        <c:axId val="172239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36744"/>
        <c:crosses val="autoZero"/>
        <c:auto val="1"/>
        <c:lblAlgn val="ctr"/>
        <c:lblOffset val="100"/>
        <c:noMultiLvlLbl val="0"/>
      </c:catAx>
      <c:valAx>
        <c:axId val="172236744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39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355" l="0.70000000000000062" r="0.70000000000000062" t="0.75000000000000355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Tables!$A$24:$A$36</c:f>
              <c:strCache>
                <c:ptCount val="12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  <c:pt idx="11">
                  <c:v>16.00</c:v>
                </c:pt>
              </c:strCache>
            </c:strRef>
          </c:cat>
          <c:val>
            <c:numRef>
              <c:f>Tables!$B$24:$B$36</c:f>
              <c:numCache>
                <c:formatCode>"$"#,##0.000</c:formatCode>
                <c:ptCount val="12"/>
                <c:pt idx="0">
                  <c:v>7.4021973333333335</c:v>
                </c:pt>
                <c:pt idx="1">
                  <c:v>4.3847583771428571</c:v>
                </c:pt>
                <c:pt idx="2">
                  <c:v>2.810621410909091</c:v>
                </c:pt>
                <c:pt idx="3">
                  <c:v>2.06287552</c:v>
                </c:pt>
                <c:pt idx="4">
                  <c:v>1.5968011846153845</c:v>
                </c:pt>
                <c:pt idx="5">
                  <c:v>1.23597216</c:v>
                </c:pt>
                <c:pt idx="6">
                  <c:v>1.1719708738461538</c:v>
                </c:pt>
                <c:pt idx="7">
                  <c:v>0.82480323000000011</c:v>
                </c:pt>
                <c:pt idx="8">
                  <c:v>0.60738747927272729</c:v>
                </c:pt>
                <c:pt idx="9">
                  <c:v>0.42207540222222223</c:v>
                </c:pt>
                <c:pt idx="10">
                  <c:v>0.3071817477551021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2242232"/>
        <c:axId val="172238312"/>
      </c:barChart>
      <c:catAx>
        <c:axId val="172242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38312"/>
        <c:crosses val="autoZero"/>
        <c:auto val="1"/>
        <c:lblAlgn val="ctr"/>
        <c:lblOffset val="100"/>
        <c:noMultiLvlLbl val="0"/>
      </c:catAx>
      <c:valAx>
        <c:axId val="172238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42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89" l="0.70000000000000062" r="0.70000000000000062" t="0.75000000000000289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Tables!$A$42:$A$54</c:f>
              <c:strCache>
                <c:ptCount val="12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  <c:pt idx="11">
                  <c:v>16.00</c:v>
                </c:pt>
              </c:strCache>
            </c:strRef>
          </c:cat>
          <c:val>
            <c:numRef>
              <c:f>Tables!$B$42:$B$54</c:f>
              <c:numCache>
                <c:formatCode>"$"#,##0.000</c:formatCode>
                <c:ptCount val="12"/>
                <c:pt idx="0">
                  <c:v>6.6619776000000002</c:v>
                </c:pt>
                <c:pt idx="1">
                  <c:v>4.8609269828571433</c:v>
                </c:pt>
                <c:pt idx="2">
                  <c:v>5.8905907200000005</c:v>
                </c:pt>
                <c:pt idx="3">
                  <c:v>6.1886265600000003</c:v>
                </c:pt>
                <c:pt idx="4">
                  <c:v>6.5581370584615382</c:v>
                </c:pt>
                <c:pt idx="5">
                  <c:v>6.1798608000000002</c:v>
                </c:pt>
                <c:pt idx="6">
                  <c:v>7.1457801230769231</c:v>
                </c:pt>
                <c:pt idx="7">
                  <c:v>6.6601514000000002</c:v>
                </c:pt>
                <c:pt idx="8">
                  <c:v>6.0738747927272732</c:v>
                </c:pt>
                <c:pt idx="9">
                  <c:v>4.9826040800000007</c:v>
                </c:pt>
                <c:pt idx="10">
                  <c:v>4.3005444685714291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2243016"/>
        <c:axId val="172243800"/>
      </c:barChart>
      <c:catAx>
        <c:axId val="172243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43800"/>
        <c:crosses val="autoZero"/>
        <c:auto val="1"/>
        <c:lblAlgn val="ctr"/>
        <c:lblOffset val="100"/>
        <c:noMultiLvlLbl val="0"/>
      </c:catAx>
      <c:valAx>
        <c:axId val="172243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43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46.800712291666663</c:v>
                </c:pt>
                <c:pt idx="1">
                  <c:v>47.986666666666672</c:v>
                </c:pt>
                <c:pt idx="2">
                  <c:v>50.323373333333336</c:v>
                </c:pt>
                <c:pt idx="3">
                  <c:v>52.362161372549018</c:v>
                </c:pt>
                <c:pt idx="4">
                  <c:v>49.676105247619041</c:v>
                </c:pt>
                <c:pt idx="5">
                  <c:v>35.267718333333335</c:v>
                </c:pt>
                <c:pt idx="6">
                  <c:v>49.121278344671204</c:v>
                </c:pt>
                <c:pt idx="7">
                  <c:v>341.14444444444439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2245760"/>
        <c:axId val="172246152"/>
      </c:barChart>
      <c:catAx>
        <c:axId val="172245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46152"/>
        <c:crosses val="autoZero"/>
        <c:auto val="1"/>
        <c:lblAlgn val="ctr"/>
        <c:lblOffset val="100"/>
        <c:noMultiLvlLbl val="0"/>
      </c:catAx>
      <c:valAx>
        <c:axId val="172246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45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55" l="0.70000000000000062" r="0.70000000000000062" t="0.75000000000000255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wrap="square" lIns="38100" tIns="19050" rIns="38100" bIns="19050" anchor="ctr">
              <a:spAutoFit/>
            </a:bodyPr>
            <a:lstStyle/>
            <a:p>
              <a:pPr>
                <a:defRPr>
                  <a:solidFill>
                    <a:schemeClr val="bg1">
                      <a:lumMod val="85000"/>
                    </a:schemeClr>
                  </a:solidFill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bg1">
                        <a:lumMod val="85000"/>
                      </a:schemeClr>
                    </a:solidFill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Tables!$A$83:$A$120</c:f>
              <c:multiLvlStrCache>
                <c:ptCount val="25"/>
                <c:lvl>
                  <c:pt idx="0">
                    <c:v>15,000</c:v>
                  </c:pt>
                  <c:pt idx="1">
                    <c:v>5,400</c:v>
                  </c:pt>
                  <c:pt idx="2">
                    <c:v>5,900</c:v>
                  </c:pt>
                  <c:pt idx="3">
                    <c:v>7,200</c:v>
                  </c:pt>
                  <c:pt idx="4">
                    <c:v>5,400</c:v>
                  </c:pt>
                  <c:pt idx="5">
                    <c:v>5,900</c:v>
                  </c:pt>
                  <c:pt idx="6">
                    <c:v>7,200</c:v>
                  </c:pt>
                  <c:pt idx="7">
                    <c:v>5,400</c:v>
                  </c:pt>
                  <c:pt idx="8">
                    <c:v>5,900</c:v>
                  </c:pt>
                  <c:pt idx="9">
                    <c:v>7,200</c:v>
                  </c:pt>
                  <c:pt idx="10">
                    <c:v>5,400</c:v>
                  </c:pt>
                  <c:pt idx="11">
                    <c:v>5,900</c:v>
                  </c:pt>
                  <c:pt idx="12">
                    <c:v>7,200</c:v>
                  </c:pt>
                  <c:pt idx="13">
                    <c:v>5,400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5,760</c:v>
                  </c:pt>
                  <c:pt idx="17">
                    <c:v>7,200</c:v>
                  </c:pt>
                  <c:pt idx="18">
                    <c:v>5,400</c:v>
                  </c:pt>
                  <c:pt idx="19">
                    <c:v>7,200</c:v>
                  </c:pt>
                  <c:pt idx="20">
                    <c:v>5,400</c:v>
                  </c:pt>
                  <c:pt idx="21">
                    <c:v>7,200</c:v>
                  </c:pt>
                  <c:pt idx="22">
                    <c:v>7,200</c:v>
                  </c:pt>
                  <c:pt idx="23">
                    <c:v>7,200</c:v>
                  </c:pt>
                  <c:pt idx="24">
                    <c:v>7,200</c:v>
                  </c:pt>
                </c:lvl>
                <c:lvl>
                  <c:pt idx="0">
                    <c:v>0.90</c:v>
                  </c:pt>
                  <c:pt idx="1">
                    <c:v>1.00</c:v>
                  </c:pt>
                  <c:pt idx="4">
                    <c:v>2.00</c:v>
                  </c:pt>
                  <c:pt idx="7">
                    <c:v>3.00</c:v>
                  </c:pt>
                  <c:pt idx="10">
                    <c:v>4.00</c:v>
                  </c:pt>
                  <c:pt idx="13">
                    <c:v>5.00</c:v>
                  </c:pt>
                  <c:pt idx="15">
                    <c:v>6.00</c:v>
                  </c:pt>
                  <c:pt idx="18">
                    <c:v>8.00</c:v>
                  </c:pt>
                  <c:pt idx="20">
                    <c:v>10.00</c:v>
                  </c:pt>
                  <c:pt idx="22">
                    <c:v>12.00</c:v>
                  </c:pt>
                  <c:pt idx="23">
                    <c:v>14.00</c:v>
                  </c:pt>
                  <c:pt idx="24">
                    <c:v>16.00</c:v>
                  </c:pt>
                </c:lvl>
              </c:multiLvlStrCache>
            </c:multiLvlStrRef>
          </c:cat>
          <c:val>
            <c:numRef>
              <c:f>Tables!$B$83:$B$120</c:f>
              <c:numCache>
                <c:formatCode>0.00</c:formatCode>
                <c:ptCount val="25"/>
                <c:pt idx="1">
                  <c:v>14.399999999999999</c:v>
                </c:pt>
                <c:pt idx="2">
                  <c:v>14.399999999999999</c:v>
                </c:pt>
                <c:pt idx="4">
                  <c:v>20.759999999999998</c:v>
                </c:pt>
                <c:pt idx="5">
                  <c:v>24</c:v>
                </c:pt>
                <c:pt idx="6">
                  <c:v>25.599999999999998</c:v>
                </c:pt>
                <c:pt idx="7">
                  <c:v>20.759999999999998</c:v>
                </c:pt>
                <c:pt idx="8">
                  <c:v>24</c:v>
                </c:pt>
                <c:pt idx="9">
                  <c:v>26.4</c:v>
                </c:pt>
                <c:pt idx="10">
                  <c:v>21</c:v>
                </c:pt>
                <c:pt idx="11">
                  <c:v>22.8</c:v>
                </c:pt>
                <c:pt idx="12">
                  <c:v>27.336000000000002</c:v>
                </c:pt>
                <c:pt idx="13">
                  <c:v>21</c:v>
                </c:pt>
                <c:pt idx="15">
                  <c:v>21</c:v>
                </c:pt>
                <c:pt idx="17">
                  <c:v>24.270000000000003</c:v>
                </c:pt>
                <c:pt idx="18">
                  <c:v>21.48</c:v>
                </c:pt>
                <c:pt idx="19">
                  <c:v>24.657999999999998</c:v>
                </c:pt>
                <c:pt idx="20">
                  <c:v>21.48</c:v>
                </c:pt>
                <c:pt idx="21">
                  <c:v>25.736799999999999</c:v>
                </c:pt>
                <c:pt idx="22">
                  <c:v>25.407333333333337</c:v>
                </c:pt>
                <c:pt idx="23">
                  <c:v>25.451999999999998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2253600"/>
        <c:axId val="172258696"/>
      </c:barChart>
      <c:catAx>
        <c:axId val="17225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58696"/>
        <c:crosses val="autoZero"/>
        <c:auto val="1"/>
        <c:lblAlgn val="ctr"/>
        <c:lblOffset val="100"/>
        <c:noMultiLvlLbl val="0"/>
      </c:catAx>
      <c:valAx>
        <c:axId val="172258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53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55" l="0.70000000000000062" r="0.70000000000000062" t="0.75000000000000255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Table'!$C$3:$C$174</c:f>
              <c:strCache>
                <c:ptCount val="172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BarraCuda Pro</c:v>
                </c:pt>
                <c:pt idx="46">
                  <c:v>Constellation ES.3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10E2400</c:v>
                </c:pt>
                <c:pt idx="50">
                  <c:v>Exos 15E900</c:v>
                </c:pt>
                <c:pt idx="51">
                  <c:v>Exos 5E8</c:v>
                </c:pt>
                <c:pt idx="52">
                  <c:v>Exos 7E2</c:v>
                </c:pt>
                <c:pt idx="53">
                  <c:v>Exos 7E2</c:v>
                </c:pt>
                <c:pt idx="54">
                  <c:v>Exos 7E2000</c:v>
                </c:pt>
                <c:pt idx="55">
                  <c:v>Exos 7E2000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7E8</c:v>
                </c:pt>
                <c:pt idx="62">
                  <c:v>Exos X10</c:v>
                </c:pt>
                <c:pt idx="63">
                  <c:v>Exos X10</c:v>
                </c:pt>
                <c:pt idx="64">
                  <c:v>Exos X12</c:v>
                </c:pt>
                <c:pt idx="65">
                  <c:v>Exos X14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FireCuda SSHD</c:v>
                </c:pt>
                <c:pt idx="69">
                  <c:v>FireCuda SSHD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</c:v>
                </c:pt>
                <c:pt idx="77">
                  <c:v>IronWolf</c:v>
                </c:pt>
                <c:pt idx="78">
                  <c:v>IronWolf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IronWolf Pro</c:v>
                </c:pt>
                <c:pt idx="83">
                  <c:v>IronWolf Pro</c:v>
                </c:pt>
                <c:pt idx="84">
                  <c:v>IronWolf Pro</c:v>
                </c:pt>
                <c:pt idx="85">
                  <c:v>IronWolf Pro</c:v>
                </c:pt>
                <c:pt idx="86">
                  <c:v>Terascale</c:v>
                </c:pt>
                <c:pt idx="87">
                  <c:v>DT01ACA</c:v>
                </c:pt>
                <c:pt idx="88">
                  <c:v>DT01ACA</c:v>
                </c:pt>
                <c:pt idx="89">
                  <c:v>DT01ACA</c:v>
                </c:pt>
                <c:pt idx="90">
                  <c:v>Enterprise Capacity</c:v>
                </c:pt>
                <c:pt idx="91">
                  <c:v>Enterprise Capacity</c:v>
                </c:pt>
                <c:pt idx="92">
                  <c:v>Enterprise Capacity</c:v>
                </c:pt>
                <c:pt idx="93">
                  <c:v>Enterprise Capacity</c:v>
                </c:pt>
                <c:pt idx="94">
                  <c:v>Enterprise Capacity</c:v>
                </c:pt>
                <c:pt idx="95">
                  <c:v>Enterprise Performance</c:v>
                </c:pt>
                <c:pt idx="96">
                  <c:v>Enterprise Performance</c:v>
                </c:pt>
                <c:pt idx="97">
                  <c:v>Enterprise Performance</c:v>
                </c:pt>
                <c:pt idx="98">
                  <c:v>Enterprise Performance</c:v>
                </c:pt>
                <c:pt idx="99">
                  <c:v>Enterprise Performance</c:v>
                </c:pt>
                <c:pt idx="100">
                  <c:v>HDKFB06</c:v>
                </c:pt>
                <c:pt idx="101">
                  <c:v>L200</c:v>
                </c:pt>
                <c:pt idx="102">
                  <c:v>L200</c:v>
                </c:pt>
                <c:pt idx="103">
                  <c:v>MG08ACA16T</c:v>
                </c:pt>
                <c:pt idx="104">
                  <c:v>MN04ACA400</c:v>
                </c:pt>
                <c:pt idx="105">
                  <c:v>MN05ACA600</c:v>
                </c:pt>
                <c:pt idx="106">
                  <c:v>MN05ACA800</c:v>
                </c:pt>
                <c:pt idx="107">
                  <c:v>MN06ACA10T</c:v>
                </c:pt>
                <c:pt idx="108">
                  <c:v>MN07ACA12T</c:v>
                </c:pt>
                <c:pt idx="109">
                  <c:v>MN07ACA14T</c:v>
                </c:pt>
                <c:pt idx="110">
                  <c:v>N300</c:v>
                </c:pt>
                <c:pt idx="111">
                  <c:v>N300</c:v>
                </c:pt>
                <c:pt idx="112">
                  <c:v>N300</c:v>
                </c:pt>
                <c:pt idx="113">
                  <c:v>N300</c:v>
                </c:pt>
                <c:pt idx="114">
                  <c:v>N300</c:v>
                </c:pt>
                <c:pt idx="115">
                  <c:v>N300</c:v>
                </c:pt>
                <c:pt idx="116">
                  <c:v>P300</c:v>
                </c:pt>
                <c:pt idx="117">
                  <c:v>P300</c:v>
                </c:pt>
                <c:pt idx="118">
                  <c:v>P300</c:v>
                </c:pt>
                <c:pt idx="119">
                  <c:v>X300</c:v>
                </c:pt>
                <c:pt idx="120">
                  <c:v>X300</c:v>
                </c:pt>
                <c:pt idx="121">
                  <c:v>X300</c:v>
                </c:pt>
                <c:pt idx="122">
                  <c:v>X300</c:v>
                </c:pt>
                <c:pt idx="123">
                  <c:v>X300</c:v>
                </c:pt>
                <c:pt idx="124">
                  <c:v>X300</c:v>
                </c:pt>
                <c:pt idx="125">
                  <c:v>X300</c:v>
                </c:pt>
                <c:pt idx="126">
                  <c:v>Ae</c:v>
                </c:pt>
                <c:pt idx="127">
                  <c:v>Black</c:v>
                </c:pt>
                <c:pt idx="128">
                  <c:v>Black</c:v>
                </c:pt>
                <c:pt idx="129">
                  <c:v>Black</c:v>
                </c:pt>
                <c:pt idx="130">
                  <c:v>Black</c:v>
                </c:pt>
                <c:pt idx="131">
                  <c:v>Black</c:v>
                </c:pt>
                <c:pt idx="132">
                  <c:v>Blue</c:v>
                </c:pt>
                <c:pt idx="133">
                  <c:v>Blue</c:v>
                </c:pt>
                <c:pt idx="134">
                  <c:v>Blue</c:v>
                </c:pt>
                <c:pt idx="135">
                  <c:v>Blue</c:v>
                </c:pt>
                <c:pt idx="136">
                  <c:v>Blue</c:v>
                </c:pt>
                <c:pt idx="137">
                  <c:v>Blue</c:v>
                </c:pt>
                <c:pt idx="138">
                  <c:v>Blue</c:v>
                </c:pt>
                <c:pt idx="139">
                  <c:v>Gold Enterprise</c:v>
                </c:pt>
                <c:pt idx="140">
                  <c:v>Gold Enterprise</c:v>
                </c:pt>
                <c:pt idx="141">
                  <c:v>Gold Enterprise</c:v>
                </c:pt>
                <c:pt idx="142">
                  <c:v>Gold Enterprise</c:v>
                </c:pt>
                <c:pt idx="143">
                  <c:v>Gold Enterprise</c:v>
                </c:pt>
                <c:pt idx="144">
                  <c:v>Gold Enterprise</c:v>
                </c:pt>
                <c:pt idx="145">
                  <c:v>Gold Enterprise</c:v>
                </c:pt>
                <c:pt idx="146">
                  <c:v>Red NAS</c:v>
                </c:pt>
                <c:pt idx="147">
                  <c:v>Red NAS</c:v>
                </c:pt>
                <c:pt idx="148">
                  <c:v>Red NAS</c:v>
                </c:pt>
                <c:pt idx="149">
                  <c:v>Red NAS</c:v>
                </c:pt>
                <c:pt idx="150">
                  <c:v>Red NAS</c:v>
                </c:pt>
                <c:pt idx="151">
                  <c:v>Red NAS</c:v>
                </c:pt>
                <c:pt idx="152">
                  <c:v>Red NAS</c:v>
                </c:pt>
                <c:pt idx="153">
                  <c:v>Red NAS</c:v>
                </c:pt>
                <c:pt idx="154">
                  <c:v>Red NAS</c:v>
                </c:pt>
                <c:pt idx="155">
                  <c:v>Red NAS</c:v>
                </c:pt>
                <c:pt idx="156">
                  <c:v>RED NAS Pro</c:v>
                </c:pt>
                <c:pt idx="157">
                  <c:v>RED NAS Pro</c:v>
                </c:pt>
                <c:pt idx="158">
                  <c:v>RED NAS Pro</c:v>
                </c:pt>
                <c:pt idx="159">
                  <c:v>RED NAS Pro</c:v>
                </c:pt>
                <c:pt idx="160">
                  <c:v>RED NAS Pro</c:v>
                </c:pt>
                <c:pt idx="161">
                  <c:v>RED NAS Pro</c:v>
                </c:pt>
                <c:pt idx="162">
                  <c:v>Ultrastar DC HA210</c:v>
                </c:pt>
                <c:pt idx="163">
                  <c:v>Ultrastar DC HA210</c:v>
                </c:pt>
                <c:pt idx="164">
                  <c:v>Ultrastar DC HC310</c:v>
                </c:pt>
                <c:pt idx="165">
                  <c:v>Ultrastar DC HC310</c:v>
                </c:pt>
                <c:pt idx="166">
                  <c:v>Ultrastar DC HC320</c:v>
                </c:pt>
                <c:pt idx="167">
                  <c:v>Ultrastar DC HC510</c:v>
                </c:pt>
                <c:pt idx="168">
                  <c:v>Ultrastar DC HC520</c:v>
                </c:pt>
                <c:pt idx="169">
                  <c:v>Ultrastar DC HC530</c:v>
                </c:pt>
                <c:pt idx="170">
                  <c:v>Ultrastar DC HC620</c:v>
                </c:pt>
                <c:pt idx="171">
                  <c:v>Ultrastar DC HC620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Table'!$F$3:$F$175</c:f>
              <c:numCache>
                <c:formatCode>0.00</c:formatCode>
                <c:ptCount val="173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14</c:v>
                </c:pt>
                <c:pt idx="46">
                  <c:v>4</c:v>
                </c:pt>
                <c:pt idx="47">
                  <c:v>1.2</c:v>
                </c:pt>
                <c:pt idx="48">
                  <c:v>1.8</c:v>
                </c:pt>
                <c:pt idx="49">
                  <c:v>2.4</c:v>
                </c:pt>
                <c:pt idx="50">
                  <c:v>0.9</c:v>
                </c:pt>
                <c:pt idx="51">
                  <c:v>8</c:v>
                </c:pt>
                <c:pt idx="52">
                  <c:v>1</c:v>
                </c:pt>
                <c:pt idx="53">
                  <c:v>2</c:v>
                </c:pt>
                <c:pt idx="54">
                  <c:v>1</c:v>
                </c:pt>
                <c:pt idx="55">
                  <c:v>2</c:v>
                </c:pt>
                <c:pt idx="56">
                  <c:v>1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6</c:v>
                </c:pt>
                <c:pt idx="61">
                  <c:v>8</c:v>
                </c:pt>
                <c:pt idx="62">
                  <c:v>8</c:v>
                </c:pt>
                <c:pt idx="63">
                  <c:v>10</c:v>
                </c:pt>
                <c:pt idx="64">
                  <c:v>12</c:v>
                </c:pt>
                <c:pt idx="65">
                  <c:v>14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4</c:v>
                </c:pt>
                <c:pt idx="74">
                  <c:v>6</c:v>
                </c:pt>
                <c:pt idx="75">
                  <c:v>8</c:v>
                </c:pt>
                <c:pt idx="76">
                  <c:v>10</c:v>
                </c:pt>
                <c:pt idx="77">
                  <c:v>12</c:v>
                </c:pt>
                <c:pt idx="78">
                  <c:v>14</c:v>
                </c:pt>
                <c:pt idx="79">
                  <c:v>2</c:v>
                </c:pt>
                <c:pt idx="80">
                  <c:v>4</c:v>
                </c:pt>
                <c:pt idx="81">
                  <c:v>6</c:v>
                </c:pt>
                <c:pt idx="82">
                  <c:v>8</c:v>
                </c:pt>
                <c:pt idx="83">
                  <c:v>10</c:v>
                </c:pt>
                <c:pt idx="84">
                  <c:v>12</c:v>
                </c:pt>
                <c:pt idx="85">
                  <c:v>14</c:v>
                </c:pt>
                <c:pt idx="86">
                  <c:v>4</c:v>
                </c:pt>
                <c:pt idx="87">
                  <c:v>1</c:v>
                </c:pt>
                <c:pt idx="88">
                  <c:v>2</c:v>
                </c:pt>
                <c:pt idx="89">
                  <c:v>3</c:v>
                </c:pt>
                <c:pt idx="90">
                  <c:v>6</c:v>
                </c:pt>
                <c:pt idx="91">
                  <c:v>8</c:v>
                </c:pt>
                <c:pt idx="92">
                  <c:v>10</c:v>
                </c:pt>
                <c:pt idx="93">
                  <c:v>12</c:v>
                </c:pt>
                <c:pt idx="94">
                  <c:v>14</c:v>
                </c:pt>
                <c:pt idx="95">
                  <c:v>1.2</c:v>
                </c:pt>
                <c:pt idx="96">
                  <c:v>1.8</c:v>
                </c:pt>
                <c:pt idx="97">
                  <c:v>2.4</c:v>
                </c:pt>
                <c:pt idx="98">
                  <c:v>0.6</c:v>
                </c:pt>
                <c:pt idx="99">
                  <c:v>0.9</c:v>
                </c:pt>
                <c:pt idx="100">
                  <c:v>3</c:v>
                </c:pt>
                <c:pt idx="101">
                  <c:v>1</c:v>
                </c:pt>
                <c:pt idx="102">
                  <c:v>2</c:v>
                </c:pt>
                <c:pt idx="103">
                  <c:v>16</c:v>
                </c:pt>
                <c:pt idx="104">
                  <c:v>4</c:v>
                </c:pt>
                <c:pt idx="105">
                  <c:v>6</c:v>
                </c:pt>
                <c:pt idx="106">
                  <c:v>8</c:v>
                </c:pt>
                <c:pt idx="107">
                  <c:v>10</c:v>
                </c:pt>
                <c:pt idx="108">
                  <c:v>12</c:v>
                </c:pt>
                <c:pt idx="109">
                  <c:v>14</c:v>
                </c:pt>
                <c:pt idx="110">
                  <c:v>4</c:v>
                </c:pt>
                <c:pt idx="111">
                  <c:v>6</c:v>
                </c:pt>
                <c:pt idx="112">
                  <c:v>8</c:v>
                </c:pt>
                <c:pt idx="113">
                  <c:v>10</c:v>
                </c:pt>
                <c:pt idx="114">
                  <c:v>12</c:v>
                </c:pt>
                <c:pt idx="115">
                  <c:v>14</c:v>
                </c:pt>
                <c:pt idx="116">
                  <c:v>1</c:v>
                </c:pt>
                <c:pt idx="117">
                  <c:v>2</c:v>
                </c:pt>
                <c:pt idx="118">
                  <c:v>3</c:v>
                </c:pt>
                <c:pt idx="119">
                  <c:v>4</c:v>
                </c:pt>
                <c:pt idx="120">
                  <c:v>5</c:v>
                </c:pt>
                <c:pt idx="121">
                  <c:v>6</c:v>
                </c:pt>
                <c:pt idx="122">
                  <c:v>8</c:v>
                </c:pt>
                <c:pt idx="123">
                  <c:v>10</c:v>
                </c:pt>
                <c:pt idx="124">
                  <c:v>12</c:v>
                </c:pt>
                <c:pt idx="125">
                  <c:v>14</c:v>
                </c:pt>
                <c:pt idx="126">
                  <c:v>6</c:v>
                </c:pt>
                <c:pt idx="127">
                  <c:v>1</c:v>
                </c:pt>
                <c:pt idx="128">
                  <c:v>1</c:v>
                </c:pt>
                <c:pt idx="129">
                  <c:v>2</c:v>
                </c:pt>
                <c:pt idx="130">
                  <c:v>4</c:v>
                </c:pt>
                <c:pt idx="131">
                  <c:v>6</c:v>
                </c:pt>
                <c:pt idx="132">
                  <c:v>1</c:v>
                </c:pt>
                <c:pt idx="133">
                  <c:v>2</c:v>
                </c:pt>
                <c:pt idx="134">
                  <c:v>1</c:v>
                </c:pt>
                <c:pt idx="135">
                  <c:v>2</c:v>
                </c:pt>
                <c:pt idx="136">
                  <c:v>3</c:v>
                </c:pt>
                <c:pt idx="137">
                  <c:v>4</c:v>
                </c:pt>
                <c:pt idx="138">
                  <c:v>6</c:v>
                </c:pt>
                <c:pt idx="139">
                  <c:v>1</c:v>
                </c:pt>
                <c:pt idx="140">
                  <c:v>2</c:v>
                </c:pt>
                <c:pt idx="141">
                  <c:v>4</c:v>
                </c:pt>
                <c:pt idx="142">
                  <c:v>6</c:v>
                </c:pt>
                <c:pt idx="143">
                  <c:v>8</c:v>
                </c:pt>
                <c:pt idx="144">
                  <c:v>10</c:v>
                </c:pt>
                <c:pt idx="145">
                  <c:v>12</c:v>
                </c:pt>
                <c:pt idx="146">
                  <c:v>0.75</c:v>
                </c:pt>
                <c:pt idx="147">
                  <c:v>1</c:v>
                </c:pt>
                <c:pt idx="148">
                  <c:v>1</c:v>
                </c:pt>
                <c:pt idx="149">
                  <c:v>2</c:v>
                </c:pt>
                <c:pt idx="150">
                  <c:v>3</c:v>
                </c:pt>
                <c:pt idx="151">
                  <c:v>4</c:v>
                </c:pt>
                <c:pt idx="152">
                  <c:v>5</c:v>
                </c:pt>
                <c:pt idx="153">
                  <c:v>6</c:v>
                </c:pt>
                <c:pt idx="154">
                  <c:v>8</c:v>
                </c:pt>
                <c:pt idx="155">
                  <c:v>10</c:v>
                </c:pt>
                <c:pt idx="156">
                  <c:v>2</c:v>
                </c:pt>
                <c:pt idx="157">
                  <c:v>3</c:v>
                </c:pt>
                <c:pt idx="158">
                  <c:v>4</c:v>
                </c:pt>
                <c:pt idx="159">
                  <c:v>6</c:v>
                </c:pt>
                <c:pt idx="160">
                  <c:v>8</c:v>
                </c:pt>
                <c:pt idx="161">
                  <c:v>10</c:v>
                </c:pt>
                <c:pt idx="162">
                  <c:v>1</c:v>
                </c:pt>
                <c:pt idx="163">
                  <c:v>2</c:v>
                </c:pt>
                <c:pt idx="164">
                  <c:v>4</c:v>
                </c:pt>
                <c:pt idx="165">
                  <c:v>6</c:v>
                </c:pt>
                <c:pt idx="166">
                  <c:v>8</c:v>
                </c:pt>
                <c:pt idx="167">
                  <c:v>10</c:v>
                </c:pt>
                <c:pt idx="168">
                  <c:v>12</c:v>
                </c:pt>
                <c:pt idx="169">
                  <c:v>14</c:v>
                </c:pt>
                <c:pt idx="170">
                  <c:v>14</c:v>
                </c:pt>
                <c:pt idx="171">
                  <c:v>15</c:v>
                </c:pt>
                <c:pt idx="172">
                  <c:v>0.6</c:v>
                </c:pt>
              </c:numCache>
            </c:numRef>
          </c:xVal>
          <c:yVal>
            <c:numRef>
              <c:f>'Drive Table'!$X$3:$X$175</c:f>
              <c:numCache>
                <c:formatCode>"$"#,##0.00</c:formatCode>
                <c:ptCount val="173"/>
                <c:pt idx="0">
                  <c:v>53.917499999999997</c:v>
                </c:pt>
                <c:pt idx="1">
                  <c:v>42.161666666666669</c:v>
                </c:pt>
                <c:pt idx="2">
                  <c:v>37.25</c:v>
                </c:pt>
                <c:pt idx="3">
                  <c:v>35.773000000000003</c:v>
                </c:pt>
                <c:pt idx="4">
                  <c:v>48.99</c:v>
                </c:pt>
                <c:pt idx="5">
                  <c:v>48.213000000000001</c:v>
                </c:pt>
                <c:pt idx="6">
                  <c:v>89.99</c:v>
                </c:pt>
                <c:pt idx="7">
                  <c:v>60.69</c:v>
                </c:pt>
                <c:pt idx="8">
                  <c:v>60.445</c:v>
                </c:pt>
                <c:pt idx="9">
                  <c:v>56.666666666666664</c:v>
                </c:pt>
                <c:pt idx="10">
                  <c:v>32.497500000000002</c:v>
                </c:pt>
                <c:pt idx="11">
                  <c:v>73.665000000000006</c:v>
                </c:pt>
                <c:pt idx="12">
                  <c:v>54.905000000000001</c:v>
                </c:pt>
                <c:pt idx="13">
                  <c:v>56.391999999999996</c:v>
                </c:pt>
                <c:pt idx="14">
                  <c:v>45.391666666666659</c:v>
                </c:pt>
                <c:pt idx="15">
                  <c:v>46.625</c:v>
                </c:pt>
                <c:pt idx="16">
                  <c:v>188.87777777777779</c:v>
                </c:pt>
                <c:pt idx="17">
                  <c:v>219.86666666666665</c:v>
                </c:pt>
                <c:pt idx="18">
                  <c:v>158.30555555555554</c:v>
                </c:pt>
                <c:pt idx="19">
                  <c:v>342.56666666666666</c:v>
                </c:pt>
                <c:pt idx="20">
                  <c:v>54.425000000000004</c:v>
                </c:pt>
                <c:pt idx="21">
                  <c:v>37.25</c:v>
                </c:pt>
                <c:pt idx="22">
                  <c:v>40.999000000000002</c:v>
                </c:pt>
                <c:pt idx="23">
                  <c:v>44.307500000000005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41.99</c:v>
                </c:pt>
                <c:pt idx="29">
                  <c:v>34.994999999999997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39.99</c:v>
                </c:pt>
                <c:pt idx="34">
                  <c:v>29.94</c:v>
                </c:pt>
                <c:pt idx="35">
                  <c:v>28.33</c:v>
                </c:pt>
                <c:pt idx="36">
                  <c:v>24.747499999999999</c:v>
                </c:pt>
                <c:pt idx="37">
                  <c:v>28.331666666666667</c:v>
                </c:pt>
                <c:pt idx="38">
                  <c:v>23.123750000000001</c:v>
                </c:pt>
                <c:pt idx="39">
                  <c:v>55.075000000000003</c:v>
                </c:pt>
                <c:pt idx="40">
                  <c:v>40.497500000000002</c:v>
                </c:pt>
                <c:pt idx="41">
                  <c:v>37.493333333333332</c:v>
                </c:pt>
                <c:pt idx="42">
                  <c:v>34.071249999999999</c:v>
                </c:pt>
                <c:pt idx="43">
                  <c:v>36.632999999999996</c:v>
                </c:pt>
                <c:pt idx="44">
                  <c:v>38.415833333333332</c:v>
                </c:pt>
                <c:pt idx="45">
                  <c:v>36.822142857142858</c:v>
                </c:pt>
                <c:pt idx="46">
                  <c:v>33.747500000000002</c:v>
                </c:pt>
                <c:pt idx="47">
                  <c:v>246.625</c:v>
                </c:pt>
                <c:pt idx="48">
                  <c:v>211.10555555555555</c:v>
                </c:pt>
                <c:pt idx="49">
                  <c:v>201.90416666666667</c:v>
                </c:pt>
                <c:pt idx="50">
                  <c:v>341.14444444444439</c:v>
                </c:pt>
                <c:pt idx="51">
                  <c:v>35.248750000000001</c:v>
                </c:pt>
                <c:pt idx="52">
                  <c:v>165</c:v>
                </c:pt>
                <c:pt idx="53">
                  <c:v>153.30000000000001</c:v>
                </c:pt>
                <c:pt idx="54">
                  <c:v>176.27</c:v>
                </c:pt>
                <c:pt idx="55">
                  <c:v>135</c:v>
                </c:pt>
                <c:pt idx="56">
                  <c:v>89.99</c:v>
                </c:pt>
                <c:pt idx="57">
                  <c:v>49.854999999999997</c:v>
                </c:pt>
                <c:pt idx="58">
                  <c:v>48.146666666666668</c:v>
                </c:pt>
                <c:pt idx="59">
                  <c:v>34.237499999999997</c:v>
                </c:pt>
                <c:pt idx="60">
                  <c:v>29.331666666666667</c:v>
                </c:pt>
                <c:pt idx="61">
                  <c:v>44.758749999999999</c:v>
                </c:pt>
                <c:pt idx="62">
                  <c:v>30.623750000000001</c:v>
                </c:pt>
                <c:pt idx="63">
                  <c:v>30.548999999999999</c:v>
                </c:pt>
                <c:pt idx="64">
                  <c:v>30.578333333333333</c:v>
                </c:pt>
                <c:pt idx="65">
                  <c:v>39.285000000000004</c:v>
                </c:pt>
                <c:pt idx="66">
                  <c:v>62.99</c:v>
                </c:pt>
                <c:pt idx="67">
                  <c:v>42.494999999999997</c:v>
                </c:pt>
                <c:pt idx="68">
                  <c:v>63.99</c:v>
                </c:pt>
                <c:pt idx="69">
                  <c:v>39.994999999999997</c:v>
                </c:pt>
                <c:pt idx="70">
                  <c:v>59.99</c:v>
                </c:pt>
                <c:pt idx="71">
                  <c:v>39.994999999999997</c:v>
                </c:pt>
                <c:pt idx="72">
                  <c:v>33.333333333333336</c:v>
                </c:pt>
                <c:pt idx="73">
                  <c:v>28.895</c:v>
                </c:pt>
                <c:pt idx="74">
                  <c:v>30.831666666666667</c:v>
                </c:pt>
                <c:pt idx="75">
                  <c:v>28.998750000000001</c:v>
                </c:pt>
                <c:pt idx="76">
                  <c:v>29.999000000000002</c:v>
                </c:pt>
                <c:pt idx="77">
                  <c:v>30.799166666666665</c:v>
                </c:pt>
                <c:pt idx="78">
                  <c:v>35.713571428571427</c:v>
                </c:pt>
                <c:pt idx="79">
                  <c:v>58.494999999999997</c:v>
                </c:pt>
                <c:pt idx="80">
                  <c:v>43.44</c:v>
                </c:pt>
                <c:pt idx="81">
                  <c:v>31.665000000000003</c:v>
                </c:pt>
                <c:pt idx="82">
                  <c:v>33.071249999999999</c:v>
                </c:pt>
                <c:pt idx="83">
                  <c:v>32.499000000000002</c:v>
                </c:pt>
                <c:pt idx="84">
                  <c:v>34.332500000000003</c:v>
                </c:pt>
                <c:pt idx="85">
                  <c:v>39.999285714285712</c:v>
                </c:pt>
                <c:pt idx="86">
                  <c:v>44.03</c:v>
                </c:pt>
                <c:pt idx="87">
                  <c:v>39.99</c:v>
                </c:pt>
                <c:pt idx="88">
                  <c:v>27.495000000000001</c:v>
                </c:pt>
                <c:pt idx="89">
                  <c:v>32.223333333333336</c:v>
                </c:pt>
                <c:pt idx="90">
                  <c:v>34</c:v>
                </c:pt>
                <c:pt idx="91">
                  <c:v>32.498750000000001</c:v>
                </c:pt>
                <c:pt idx="92">
                  <c:v>54.067999999999998</c:v>
                </c:pt>
                <c:pt idx="93">
                  <c:v>37.49</c:v>
                </c:pt>
                <c:pt idx="94">
                  <c:v>39.284285714285716</c:v>
                </c:pt>
                <c:pt idx="95">
                  <c:v>241.65833333333336</c:v>
                </c:pt>
                <c:pt idx="96">
                  <c:v>222.21666666666667</c:v>
                </c:pt>
                <c:pt idx="97">
                  <c:v>0</c:v>
                </c:pt>
                <c:pt idx="98">
                  <c:v>499.98333333333335</c:v>
                </c:pt>
                <c:pt idx="99">
                  <c:v>166.66666666666666</c:v>
                </c:pt>
                <c:pt idx="100">
                  <c:v>42.896666666666668</c:v>
                </c:pt>
                <c:pt idx="101">
                  <c:v>46.99</c:v>
                </c:pt>
                <c:pt idx="102">
                  <c:v>37.206000000000003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29.247499999999999</c:v>
                </c:pt>
                <c:pt idx="111">
                  <c:v>29.153333333333332</c:v>
                </c:pt>
                <c:pt idx="112">
                  <c:v>27.498750000000001</c:v>
                </c:pt>
                <c:pt idx="113">
                  <c:v>29.599</c:v>
                </c:pt>
                <c:pt idx="114">
                  <c:v>33.332500000000003</c:v>
                </c:pt>
                <c:pt idx="115">
                  <c:v>35.713571428571427</c:v>
                </c:pt>
                <c:pt idx="116">
                  <c:v>49.99</c:v>
                </c:pt>
                <c:pt idx="117">
                  <c:v>24.495000000000001</c:v>
                </c:pt>
                <c:pt idx="118">
                  <c:v>29.996666666666666</c:v>
                </c:pt>
                <c:pt idx="119">
                  <c:v>28.504999999999999</c:v>
                </c:pt>
                <c:pt idx="120">
                  <c:v>21.997999999999998</c:v>
                </c:pt>
                <c:pt idx="121">
                  <c:v>28.553333333333331</c:v>
                </c:pt>
                <c:pt idx="122">
                  <c:v>24.998750000000001</c:v>
                </c:pt>
                <c:pt idx="123">
                  <c:v>30.999000000000002</c:v>
                </c:pt>
                <c:pt idx="124">
                  <c:v>33.332500000000003</c:v>
                </c:pt>
                <c:pt idx="125">
                  <c:v>37.856428571428573</c:v>
                </c:pt>
                <c:pt idx="126">
                  <c:v>39.333333333333336</c:v>
                </c:pt>
                <c:pt idx="127">
                  <c:v>61.99</c:v>
                </c:pt>
                <c:pt idx="128">
                  <c:v>74.989999999999995</c:v>
                </c:pt>
                <c:pt idx="129">
                  <c:v>59.865000000000002</c:v>
                </c:pt>
                <c:pt idx="130">
                  <c:v>38.747500000000002</c:v>
                </c:pt>
                <c:pt idx="131">
                  <c:v>39.164999999999999</c:v>
                </c:pt>
                <c:pt idx="132">
                  <c:v>44.99</c:v>
                </c:pt>
                <c:pt idx="133">
                  <c:v>40.994999999999997</c:v>
                </c:pt>
                <c:pt idx="134">
                  <c:v>41.391000000000005</c:v>
                </c:pt>
                <c:pt idx="135">
                  <c:v>26.495000000000001</c:v>
                </c:pt>
                <c:pt idx="136">
                  <c:v>30.66333333333333</c:v>
                </c:pt>
                <c:pt idx="137">
                  <c:v>21.247499999999999</c:v>
                </c:pt>
                <c:pt idx="138">
                  <c:v>29.498333333333335</c:v>
                </c:pt>
                <c:pt idx="139">
                  <c:v>94</c:v>
                </c:pt>
                <c:pt idx="140">
                  <c:v>57.5</c:v>
                </c:pt>
                <c:pt idx="141">
                  <c:v>42.497500000000002</c:v>
                </c:pt>
                <c:pt idx="142">
                  <c:v>39.031666666666666</c:v>
                </c:pt>
                <c:pt idx="143">
                  <c:v>39.356250000000003</c:v>
                </c:pt>
                <c:pt idx="144">
                  <c:v>45.563000000000002</c:v>
                </c:pt>
                <c:pt idx="145">
                  <c:v>47.149166666666666</c:v>
                </c:pt>
                <c:pt idx="146">
                  <c:v>82.626666666666665</c:v>
                </c:pt>
                <c:pt idx="147">
                  <c:v>72.23</c:v>
                </c:pt>
                <c:pt idx="148">
                  <c:v>66.239999999999995</c:v>
                </c:pt>
                <c:pt idx="149">
                  <c:v>40.494999999999997</c:v>
                </c:pt>
                <c:pt idx="150">
                  <c:v>29.696666666666669</c:v>
                </c:pt>
                <c:pt idx="151">
                  <c:v>26.247499999999999</c:v>
                </c:pt>
                <c:pt idx="152">
                  <c:v>49.798000000000002</c:v>
                </c:pt>
                <c:pt idx="153">
                  <c:v>36.664999999999999</c:v>
                </c:pt>
                <c:pt idx="154">
                  <c:v>31.248750000000001</c:v>
                </c:pt>
                <c:pt idx="155">
                  <c:v>26.499000000000002</c:v>
                </c:pt>
                <c:pt idx="156">
                  <c:v>59.994999999999997</c:v>
                </c:pt>
                <c:pt idx="157">
                  <c:v>77.963333333333324</c:v>
                </c:pt>
                <c:pt idx="158">
                  <c:v>45.747500000000002</c:v>
                </c:pt>
                <c:pt idx="159">
                  <c:v>37.498333333333335</c:v>
                </c:pt>
                <c:pt idx="160">
                  <c:v>38.363750000000003</c:v>
                </c:pt>
                <c:pt idx="161">
                  <c:v>36.982999999999997</c:v>
                </c:pt>
                <c:pt idx="162">
                  <c:v>87.08</c:v>
                </c:pt>
                <c:pt idx="163">
                  <c:v>62.494999999999997</c:v>
                </c:pt>
                <c:pt idx="164">
                  <c:v>43.747500000000002</c:v>
                </c:pt>
                <c:pt idx="165">
                  <c:v>34.664999999999999</c:v>
                </c:pt>
                <c:pt idx="166">
                  <c:v>32.306249999999999</c:v>
                </c:pt>
                <c:pt idx="167">
                  <c:v>37.999000000000002</c:v>
                </c:pt>
                <c:pt idx="168">
                  <c:v>33.749166666666667</c:v>
                </c:pt>
                <c:pt idx="169">
                  <c:v>37.856428571428573</c:v>
                </c:pt>
                <c:pt idx="170">
                  <c:v>42.785714285714285</c:v>
                </c:pt>
                <c:pt idx="171">
                  <c:v>0</c:v>
                </c:pt>
                <c:pt idx="172" formatCode="_(&quot;$&quot;* #,##0.00_);_(&quot;$&quot;* \(#,##0.00\);_(&quot;$&quot;* &quot;-&quot;??_);_(@_)">
                  <c:v>21.247499999999999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72258304"/>
        <c:axId val="172248896"/>
      </c:scatterChart>
      <c:valAx>
        <c:axId val="172258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48896"/>
        <c:crosses val="autoZero"/>
        <c:crossBetween val="midCat"/>
      </c:valAx>
      <c:valAx>
        <c:axId val="172248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258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581.708928935186" createdVersion="6" refreshedVersion="5" minRefreshableVersion="3" recordCount="172">
  <cacheSource type="worksheet">
    <worksheetSource name="Table5" r:id="rId2"/>
  </cacheSource>
  <cacheFields count="31">
    <cacheField name="Date" numFmtId="14">
      <sharedItems containsSemiMixedTypes="0" containsNonDate="0" containsDate="1" containsString="0" minDate="2017-10-19T00:00:00" maxDate="2019-04-26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6" count="20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16"/>
        <n v="0.75"/>
        <n v="1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Warranty" numFmtId="0">
      <sharedItems containsString="0" containsBlank="1" containsNumber="1" containsInteger="1" minValue="2" maxValue="5"/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8">
      <sharedItems containsBlank="1" containsMixedTypes="1" containsNumber="1" minValue="0" maxValue="9.2917056000000002"/>
    </cacheField>
    <cacheField name="Energy$yearPerTB" numFmtId="8">
      <sharedItems containsBlank="1" containsMixedTypes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Blank="1" containsMixedTypes="1" containsNumber="1" minValue="0" maxValue="499.98333333333335"/>
    </cacheField>
    <cacheField name="$+Warr" numFmtId="164">
      <sharedItems containsString="0" containsBlank="1" containsNumber="1" minValue="0" maxValue="704.88670000000002"/>
    </cacheField>
    <cacheField name="$PerTB" numFmtId="164">
      <sharedItems containsBlank="1" containsMixedTypes="1" containsNumber="1" minValue="0" maxValue="499.98333333333335"/>
    </cacheField>
    <cacheField name="$ TB/year" numFmtId="164">
      <sharedItems containsBlank="1" containsMixedTypes="1" containsNumber="1" minValue="0" maxValue="99.99666666666667"/>
    </cacheField>
    <cacheField name="$TB/Yr+Power" numFmtId="164">
      <sharedItems containsMixedTypes="1" containsNumber="1" minValue="0" maxValue="111.46520266666667"/>
    </cacheField>
    <cacheField name="DBA_Idle" numFmtId="0">
      <sharedItems containsBlank="1" containsMixedTypes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2">
  <r>
    <d v="2019-04-24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s v=""/>
    <s v=""/>
    <n v="215.67"/>
    <n v="53.917499999999997"/>
    <n v="263.11739999999998"/>
    <n v="65.779349999999994"/>
    <n v="13.155869999999998"/>
    <s v=""/>
    <n v="29"/>
    <m/>
    <s v="Enterprise HGST drives are now"/>
  </r>
  <r>
    <d v="2019-04-24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s v=""/>
    <s v=""/>
    <n v="252.97"/>
    <n v="42.161666666666669"/>
    <n v="165.99"/>
    <n v="27.665000000000003"/>
    <n v="5.5330000000000004"/>
    <s v=""/>
    <n v="29"/>
    <m/>
    <s v="owned by WD"/>
  </r>
  <r>
    <d v="2019-01-17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s v=""/>
    <s v=""/>
    <n v="298"/>
    <n v="37.25"/>
    <n v="363.56"/>
    <n v="45.445"/>
    <n v="9.0890000000000004"/>
    <s v=""/>
    <n v="29"/>
    <m/>
    <m/>
  </r>
  <r>
    <d v="2019-03-07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s v=""/>
    <s v=""/>
    <n v="357.73"/>
    <n v="35.773000000000003"/>
    <n v="436.43060000000003"/>
    <n v="43.643060000000006"/>
    <n v="8.7286120000000018"/>
    <s v=""/>
    <n v="29"/>
    <m/>
    <m/>
  </r>
  <r>
    <d v="2018-07-1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8.99"/>
    <n v="48.99"/>
    <n v="59.767800000000001"/>
    <n v="59.767800000000001"/>
    <n v="11.95356"/>
    <n v="13.0054512"/>
    <m/>
    <m/>
    <m/>
  </r>
  <r>
    <d v="2018-11-08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48.213000000000001"/>
    <n v="48.213000000000001"/>
    <n v="58.819860000000006"/>
    <n v="58.819860000000006"/>
    <n v="11.763972000000001"/>
    <n v="14.108812800000001"/>
    <m/>
    <m/>
    <m/>
  </r>
  <r>
    <d v="2018-12-29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89.99"/>
    <n v="89.99"/>
    <n v="89.99"/>
    <n v="89.99"/>
    <n v="17.997999999999998"/>
    <n v="24.94486479999999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n v="15.6114324"/>
    <m/>
    <m/>
    <m/>
  </r>
  <r>
    <d v="2018-07-17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0.89"/>
    <n v="60.445"/>
    <n v="120.89"/>
    <n v="60.445"/>
    <n v="12.089"/>
    <n v="16.362307999999999"/>
    <m/>
    <m/>
    <m/>
  </r>
  <r>
    <d v="2018-07-03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  <n v="14.182205333333332"/>
    <m/>
    <m/>
    <m/>
  </r>
  <r>
    <d v="2019-03-07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  <n v="8.6361540000000012"/>
    <m/>
    <m/>
    <m/>
  </r>
  <r>
    <d v="2018-12-29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7.33000000000001"/>
    <n v="73.665000000000006"/>
    <n v="147.33000000000001"/>
    <n v="73.665000000000006"/>
    <n v="14.733000000000001"/>
    <n v="18.841950000000001"/>
    <n v="29"/>
    <n v="36"/>
    <m/>
  </r>
  <r>
    <d v="2018-12-29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219.62"/>
    <n v="54.905000000000001"/>
    <n v="219.62"/>
    <n v="54.905000000000001"/>
    <n v="10.981"/>
    <n v="13.035475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12.92198"/>
    <n v="29"/>
    <n v="36"/>
    <m/>
  </r>
  <r>
    <d v="2018-12-29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72.34999999999997"/>
    <n v="45.391666666666659"/>
    <n v="272.34999999999997"/>
    <n v="45.391666666666659"/>
    <n v="9.0783333333333314"/>
    <n v="10.447983333333331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n v="10.092003999999999"/>
    <m/>
    <m/>
    <s v="Helium filled, Shingled (SMR)"/>
  </r>
  <r>
    <d v="2018-12-29T00:00:00"/>
    <x v="0"/>
    <s v="Ultrastar C10K900"/>
    <x v="0"/>
    <x v="1"/>
    <x v="8"/>
    <x v="2"/>
    <n v="2.85"/>
    <n v="8.5"/>
    <n v="0.94814814814814818"/>
    <n v="224"/>
    <n v="5"/>
    <m/>
    <m/>
    <x v="2"/>
    <n v="1E+16"/>
    <m/>
    <n v="6.5"/>
    <n v="4.7"/>
    <m/>
    <n v="5.5443432000000001"/>
    <n v="6.1603813333333335"/>
    <n v="169.99"/>
    <n v="188.87777777777779"/>
    <n v="169.99"/>
    <n v="188.87777777777779"/>
    <n v="37.775555555555556"/>
    <n v="43.935936888888889"/>
    <m/>
    <m/>
    <m/>
  </r>
  <r>
    <d v="2018-12-29T00:00:00"/>
    <x v="0"/>
    <s v="Ultrastar C10K1200"/>
    <x v="0"/>
    <x v="1"/>
    <x v="9"/>
    <x v="2"/>
    <n v="2.85"/>
    <n v="8.5"/>
    <n v="0.94814814814814818"/>
    <n v="224"/>
    <n v="5"/>
    <m/>
    <m/>
    <x v="2"/>
    <n v="1E+16"/>
    <m/>
    <n v="6.5"/>
    <n v="4.7"/>
    <m/>
    <n v="5.5443432000000001"/>
    <n v="4.6202860000000001"/>
    <n v="263.83999999999997"/>
    <n v="219.86666666666665"/>
    <n v="263.83999999999997"/>
    <n v="219.86666666666665"/>
    <n v="43.973333333333329"/>
    <n v="48.593619333333329"/>
    <m/>
    <m/>
    <m/>
  </r>
  <r>
    <d v="2018-12-29T00:00:00"/>
    <x v="0"/>
    <s v="Ultrastar C10K1800"/>
    <x v="0"/>
    <x v="1"/>
    <x v="10"/>
    <x v="2"/>
    <n v="2.85"/>
    <n v="8.5"/>
    <n v="0.94814814814814818"/>
    <n v="224"/>
    <n v="5"/>
    <m/>
    <m/>
    <x v="2"/>
    <n v="1E+16"/>
    <m/>
    <n v="6.6"/>
    <n v="4.7"/>
    <m/>
    <n v="5.5662576000000001"/>
    <n v="3.0923653333333334"/>
    <n v="284.95"/>
    <n v="158.30555555555554"/>
    <n v="284.95"/>
    <n v="158.30555555555554"/>
    <n v="31.661111111111108"/>
    <n v="34.753476444444445"/>
    <m/>
    <m/>
    <m/>
  </r>
  <r>
    <d v="2018-12-29T00:00:00"/>
    <x v="0"/>
    <s v="Ultrastar C15K600"/>
    <x v="0"/>
    <x v="1"/>
    <x v="11"/>
    <x v="3"/>
    <n v="1.99"/>
    <n v="8.5"/>
    <n v="1.7833333333333332"/>
    <n v="250"/>
    <n v="5"/>
    <m/>
    <m/>
    <x v="2"/>
    <n v="1E+17"/>
    <m/>
    <n v="7.5"/>
    <n v="5.8"/>
    <m/>
    <n v="6.7277208000000002"/>
    <n v="11.212868"/>
    <n v="205.54"/>
    <n v="342.56666666666666"/>
    <n v="205.54"/>
    <n v="342.56666666666666"/>
    <n v="68.513333333333335"/>
    <n v="79.726201333333336"/>
    <m/>
    <m/>
    <s v="32GB NAND, Media caching"/>
  </r>
  <r>
    <d v="2018-07-03T00:00:00"/>
    <x v="0"/>
    <s v="Ultrastar He6"/>
    <x v="0"/>
    <x v="0"/>
    <x v="1"/>
    <x v="0"/>
    <n v="4.16"/>
    <n v="8.5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  <n v="11.900367200000002"/>
    <n v="20"/>
    <m/>
    <s v="Helium filled"/>
  </r>
  <r>
    <d v="2019-01-17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298"/>
    <n v="37.25"/>
    <n v="298"/>
    <n v="37.25"/>
    <n v="7.45"/>
    <n v="8.2115253999999993"/>
    <n v="20"/>
    <n v="36"/>
    <s v="Helium filled, Media caching"/>
  </r>
  <r>
    <d v="2019-01-17T00:00:00"/>
    <x v="0"/>
    <s v="Ultrastar He10"/>
    <x v="0"/>
    <x v="0"/>
    <x v="3"/>
    <x v="0"/>
    <n v="4.16"/>
    <n v="8.5"/>
    <n v="0.33333333333333326"/>
    <n v="237"/>
    <n v="5"/>
    <n v="600000"/>
    <n v="550"/>
    <x v="3"/>
    <n v="1000000000000000"/>
    <m/>
    <n v="6.8"/>
    <n v="5"/>
    <m/>
    <n v="5.8730592000000001"/>
    <n v="0.58730592000000004"/>
    <n v="409.99"/>
    <n v="40.999000000000002"/>
    <n v="409.99"/>
    <n v="40.999000000000002"/>
    <n v="8.1997999999999998"/>
    <n v="8.7871059200000001"/>
    <n v="20"/>
    <n v="36"/>
    <s v="Helium filled"/>
  </r>
  <r>
    <d v="2019-04-08T00:00:00"/>
    <x v="0"/>
    <s v="Ultrastar He12"/>
    <x v="0"/>
    <x v="0"/>
    <x v="12"/>
    <x v="0"/>
    <n v="4.16"/>
    <n v="8.5"/>
    <n v="0.33333333333333326"/>
    <n v="243"/>
    <n v="5"/>
    <n v="600000"/>
    <n v="550"/>
    <x v="3"/>
    <n v="1000000000000000"/>
    <m/>
    <n v="7.2"/>
    <n v="5.3"/>
    <m/>
    <n v="6.2236896000000002"/>
    <n v="0.51864080000000001"/>
    <n v="531.69000000000005"/>
    <n v="44.307500000000005"/>
    <n v="531.69000000000005"/>
    <n v="44.307500000000005"/>
    <n v="8.8615000000000013"/>
    <n v="9.3801408000000013"/>
    <n v="20"/>
    <n v="36"/>
    <s v="Helium filled"/>
  </r>
  <r>
    <d v="2018-01-27T00:00:00"/>
    <x v="0"/>
    <s v="Ultrastar Hs14"/>
    <x v="2"/>
    <x v="0"/>
    <x v="13"/>
    <x v="0"/>
    <n v="4.16"/>
    <n v="8.5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n v="9.7114797714285714"/>
    <n v="20"/>
    <n v="36"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n v="11.2002615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n v="8.9258699999999997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n v="7.5206474999999999"/>
    <m/>
    <m/>
    <m/>
  </r>
  <r>
    <d v="2018-08-08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  <n v="11.936344"/>
    <n v="22"/>
    <n v="24"/>
    <m/>
  </r>
  <r>
    <d v="2018-08-22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n v="9.7250435999999993"/>
    <n v="24"/>
    <n v="26"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n v="12.000592000000001"/>
    <n v="26"/>
    <n v="27"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n v="10.802594000000001"/>
    <n v="26"/>
    <n v="27"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n v="10.723791199999999"/>
    <n v="26"/>
    <n v="27"/>
    <m/>
  </r>
  <r>
    <d v="2019-04-22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39.99"/>
    <n v="39.99"/>
    <n v="53.186700000000002"/>
    <n v="53.186700000000002"/>
    <n v="10.63734"/>
    <n v="15.8310528"/>
    <n v="24"/>
    <n v="25"/>
    <m/>
  </r>
  <r>
    <d v="2019-04-08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9.88"/>
    <n v="29.94"/>
    <n v="79.6404"/>
    <n v="39.8202"/>
    <n v="7.9640399999999998"/>
    <n v="11.207371200000001"/>
    <n v="21"/>
    <n v="23"/>
    <m/>
  </r>
  <r>
    <d v="2019-03-07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84.99"/>
    <n v="28.33"/>
    <n v="113.0367"/>
    <n v="37.678899999999999"/>
    <n v="7.5357799999999999"/>
    <n v="9.6980008000000009"/>
    <n v="24"/>
    <n v="27"/>
    <m/>
  </r>
  <r>
    <d v="2019-03-07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98.99"/>
    <n v="24.747499999999999"/>
    <n v="131.6567"/>
    <n v="32.914175"/>
    <n v="6.5828350000000002"/>
    <n v="7.4046250000000002"/>
    <n v="24"/>
    <n v="27"/>
    <m/>
  </r>
  <r>
    <d v="2019-03-07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69.99"/>
    <n v="28.331666666666667"/>
    <n v="226.08670000000001"/>
    <n v="37.681116666666668"/>
    <n v="7.5362233333333339"/>
    <n v="8.226526933333334"/>
    <n v="25"/>
    <n v="26"/>
    <m/>
  </r>
  <r>
    <d v="2019-03-07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184.99"/>
    <n v="23.123750000000001"/>
    <n v="246.0367"/>
    <n v="30.7545875"/>
    <n v="6.1509175000000003"/>
    <n v="6.6686452000000003"/>
    <n v="25"/>
    <n v="26"/>
    <m/>
  </r>
  <r>
    <d v="2019-03-07T00:00:00"/>
    <x v="1"/>
    <s v="BarraCuda Pro"/>
    <x v="3"/>
    <x v="0"/>
    <x v="5"/>
    <x v="0"/>
    <n v="4.16"/>
    <m/>
    <n v="0.33333333333333326"/>
    <n v="195"/>
    <n v="5"/>
    <n v="600000"/>
    <n v="180"/>
    <x v="5"/>
    <n v="1000000000000000"/>
    <n v="24"/>
    <n v="6.7"/>
    <n v="4.5"/>
    <n v="0.8"/>
    <n v="5.4128568000000001"/>
    <n v="2.7064284000000001"/>
    <n v="110.15"/>
    <n v="55.075000000000003"/>
    <n v="110.15"/>
    <n v="55.075000000000003"/>
    <n v="11.015000000000001"/>
    <n v="13.721428400000001"/>
    <n v="24"/>
    <n v="28"/>
    <m/>
  </r>
  <r>
    <d v="2019-03-0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61.99"/>
    <n v="40.497500000000002"/>
    <n v="161.99"/>
    <n v="40.497500000000002"/>
    <n v="8.0995000000000008"/>
    <n v="9.7814302000000009"/>
    <n v="30"/>
    <n v="34"/>
    <m/>
  </r>
  <r>
    <d v="2019-03-07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4.96"/>
    <n v="37.493333333333332"/>
    <n v="224.96"/>
    <n v="37.493333333333332"/>
    <n v="7.4986666666666668"/>
    <n v="8.8792738666666668"/>
    <n v="30"/>
    <n v="34"/>
    <m/>
  </r>
  <r>
    <d v="2019-03-07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2.57"/>
    <n v="34.071249999999999"/>
    <n v="272.57"/>
    <n v="34.071249999999999"/>
    <n v="6.8142499999999995"/>
    <n v="7.4848306399999993"/>
    <n v="30"/>
    <n v="34"/>
    <m/>
  </r>
  <r>
    <d v="2019-03-07T00:00:00"/>
    <x v="1"/>
    <s v="BarraCuda Pro"/>
    <x v="3"/>
    <x v="0"/>
    <x v="3"/>
    <x v="0"/>
    <n v="4.16"/>
    <m/>
    <n v="0.33333333333333326"/>
    <n v="238"/>
    <n v="5"/>
    <n v="300000"/>
    <n v="300"/>
    <x v="1"/>
    <n v="1000000000000000"/>
    <n v="25.454000000000001"/>
    <n v="8.49"/>
    <n v="5.07"/>
    <n v="1.17"/>
    <n v="6.3047728800000007"/>
    <n v="0.63047728800000002"/>
    <n v="366.33"/>
    <n v="36.632999999999996"/>
    <n v="366.33"/>
    <n v="36.632999999999996"/>
    <n v="7.3265999999999991"/>
    <n v="7.9570772879999989"/>
    <n v="20"/>
    <n v="28"/>
    <m/>
  </r>
  <r>
    <d v="2019-03-07T00:00:00"/>
    <x v="1"/>
    <s v="BarraCuda Pro"/>
    <x v="3"/>
    <x v="0"/>
    <x v="12"/>
    <x v="0"/>
    <n v="4.16"/>
    <m/>
    <n v="0.33333333333333326"/>
    <n v="238"/>
    <n v="5"/>
    <n v="300000"/>
    <n v="300"/>
    <x v="1"/>
    <n v="1000000000000000"/>
    <n v="25.454000000000001"/>
    <n v="8.49"/>
    <n v="5.07"/>
    <n v="1.17"/>
    <n v="6.3047728800000007"/>
    <n v="0.52539774000000006"/>
    <n v="460.99"/>
    <n v="38.415833333333332"/>
    <n v="460.99"/>
    <n v="38.415833333333332"/>
    <n v="7.6831666666666667"/>
    <n v="8.2085644066666674"/>
    <n v="20"/>
    <n v="28"/>
    <m/>
  </r>
  <r>
    <d v="2019-03-07T00:00:00"/>
    <x v="1"/>
    <s v="BarraCuda Pro"/>
    <x v="3"/>
    <x v="0"/>
    <x v="13"/>
    <x v="0"/>
    <n v="4.16"/>
    <m/>
    <n v="0.33333333333333326"/>
    <n v="238"/>
    <n v="5"/>
    <n v="300000"/>
    <n v="300"/>
    <x v="1"/>
    <n v="1000000000000000"/>
    <n v="25.454000000000001"/>
    <n v="8.49"/>
    <n v="5.07"/>
    <n v="1.17"/>
    <n v="6.3047728800000007"/>
    <n v="0.45034092000000003"/>
    <n v="515.51"/>
    <n v="36.822142857142858"/>
    <n v="515.51"/>
    <n v="36.822142857142858"/>
    <n v="7.3644285714285713"/>
    <n v="7.8147694914285717"/>
    <n v="20"/>
    <n v="28"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n v="8.8417773400000002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54.502277000000007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45.141813644444447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42.953036033333333"/>
    <n v="31"/>
    <m/>
    <s v="16GiB NAND"/>
  </r>
  <r>
    <d v="2018-12-24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307.02999999999997"/>
    <n v="341.14444444444439"/>
    <n v="307.02999999999997"/>
    <n v="341.14444444444439"/>
    <n v="68.228888888888875"/>
    <n v="75.631086222222208"/>
    <m/>
    <m/>
    <s v="8GiB NAND"/>
  </r>
  <r>
    <d v="2018-03-07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  <n v="9.1512943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n v="38.6539152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n v="33.486957600000004"/>
    <m/>
    <m/>
    <m/>
  </r>
  <r>
    <d v="2018-07-17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76.27"/>
    <n v="176.27"/>
    <n v="176.27"/>
    <n v="176.27"/>
    <n v="35.254000000000005"/>
    <n v="39.430884640000002"/>
    <m/>
    <m/>
    <m/>
  </r>
  <r>
    <d v="2018-03-07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270"/>
    <n v="135"/>
    <n v="270"/>
    <n v="135"/>
    <n v="27"/>
    <n v="29.206780080000001"/>
    <m/>
    <m/>
    <m/>
  </r>
  <r>
    <d v="2018-12-23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99"/>
    <n v="89.99"/>
    <n v="89.99"/>
    <n v="89.99"/>
    <n v="17.997999999999998"/>
    <n v="23.018589039999998"/>
    <m/>
    <m/>
    <m/>
  </r>
  <r>
    <d v="2019-04-2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99.71"/>
    <n v="49.854999999999997"/>
    <n v="99.71"/>
    <n v="49.854999999999997"/>
    <n v="9.9710000000000001"/>
    <n v="12.4801988"/>
    <m/>
    <m/>
    <m/>
  </r>
  <r>
    <d v="2018-12-23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44.44"/>
    <n v="48.146666666666668"/>
    <n v="144.44"/>
    <n v="48.146666666666668"/>
    <n v="9.6293333333333333"/>
    <n v="11.725810933333333"/>
    <m/>
    <m/>
    <m/>
  </r>
  <r>
    <d v="2019-04-24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136.94999999999999"/>
    <n v="34.237499999999997"/>
    <n v="129.99"/>
    <n v="32.497500000000002"/>
    <n v="6.4995000000000003"/>
    <n v="8.0718582000000012"/>
    <m/>
    <m/>
    <m/>
  </r>
  <r>
    <d v="2019-04-2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75.99"/>
    <n v="29.331666666666667"/>
    <n v="175.99"/>
    <n v="29.331666666666667"/>
    <n v="5.8663333333333334"/>
    <n v="7.4149509333333334"/>
    <m/>
    <m/>
    <m/>
  </r>
  <r>
    <d v="2018-12-24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358.07"/>
    <n v="44.758749999999999"/>
    <n v="358.07"/>
    <n v="44.758749999999999"/>
    <n v="8.9517500000000005"/>
    <n v="10.085820200000001"/>
    <m/>
    <m/>
    <m/>
  </r>
  <r>
    <d v="2019-04-24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44.99"/>
    <n v="30.623750000000001"/>
    <n v="244.99"/>
    <n v="30.623750000000001"/>
    <n v="6.1247500000000006"/>
    <n v="6.8862754000000006"/>
    <m/>
    <m/>
    <s v="Helium filled"/>
  </r>
  <r>
    <d v="2019-04-24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05.49"/>
    <n v="30.548999999999999"/>
    <n v="305.49"/>
    <n v="30.548999999999999"/>
    <n v="6.1097999999999999"/>
    <n v="6.7190203200000003"/>
    <m/>
    <m/>
    <s v="Helium filled"/>
  </r>
  <r>
    <d v="2019-04-24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366.94"/>
    <n v="30.578333333333333"/>
    <n v="366.94"/>
    <n v="30.578333333333333"/>
    <n v="6.1156666666666668"/>
    <n v="6.6233502666666668"/>
    <m/>
    <m/>
    <s v="Helium filled"/>
  </r>
  <r>
    <d v="2019-04-24T00:00:00"/>
    <x v="1"/>
    <s v="Exos X14"/>
    <x v="0"/>
    <x v="0"/>
    <x v="13"/>
    <x v="0"/>
    <m/>
    <m/>
    <n v="0.33333333333333326"/>
    <m/>
    <n v="5"/>
    <m/>
    <m/>
    <x v="1"/>
    <m/>
    <m/>
    <m/>
    <m/>
    <m/>
    <n v="0"/>
    <n v="0"/>
    <n v="549.99"/>
    <n v="39.285000000000004"/>
    <n v="549.99"/>
    <n v="39.285000000000004"/>
    <n v="7.8570000000000011"/>
    <n v="7.8570000000000011"/>
    <m/>
    <m/>
    <s v="Helium filled"/>
  </r>
  <r>
    <d v="2018-09-15T00:00:00"/>
    <x v="1"/>
    <s v="FireCuda SSHD"/>
    <x v="1"/>
    <x v="1"/>
    <x v="4"/>
    <x v="1"/>
    <n v="5.6"/>
    <n v="13"/>
    <n v="0"/>
    <n v="140"/>
    <n v="5"/>
    <n v="600000"/>
    <n v="55"/>
    <x v="1"/>
    <n v="100000000000000"/>
    <n v="5"/>
    <n v="1.7"/>
    <n v="1.45"/>
    <n v="0.45"/>
    <n v="1.64358"/>
    <n v="1.64358"/>
    <n v="62.99"/>
    <n v="62.99"/>
    <n v="62.99"/>
    <n v="62.99"/>
    <n v="12.598000000000001"/>
    <n v="14.241580000000001"/>
    <n v="22"/>
    <n v="24"/>
    <s v="8GiB NAND"/>
  </r>
  <r>
    <d v="2018-12-29T00:00:00"/>
    <x v="1"/>
    <s v="FireCuda SSHD"/>
    <x v="1"/>
    <x v="1"/>
    <x v="5"/>
    <x v="1"/>
    <n v="5.6"/>
    <n v="13"/>
    <n v="0"/>
    <n v="140"/>
    <n v="5"/>
    <n v="600000"/>
    <n v="55"/>
    <x v="1"/>
    <n v="100000000000000"/>
    <n v="5"/>
    <n v="1.8"/>
    <n v="1.5"/>
    <n v="0.5"/>
    <n v="1.7093232"/>
    <n v="0.85466160000000002"/>
    <n v="84.99"/>
    <n v="42.494999999999997"/>
    <n v="84.99"/>
    <n v="42.494999999999997"/>
    <n v="8.4989999999999988"/>
    <n v="9.3536615999999988"/>
    <n v="24"/>
    <n v="26"/>
    <s v="8GiB NAND"/>
  </r>
  <r>
    <d v="2018-07-03T00:00:00"/>
    <x v="1"/>
    <s v="FireCuda SSHD"/>
    <x v="3"/>
    <x v="0"/>
    <x v="4"/>
    <x v="0"/>
    <n v="4.16"/>
    <n v="9.5"/>
    <n v="0.33333333333333326"/>
    <n v="156"/>
    <n v="5"/>
    <n v="300000"/>
    <n v="55"/>
    <x v="1"/>
    <n v="100000000000000"/>
    <n v="24"/>
    <n v="5.9"/>
    <n v="4.5"/>
    <n v="0.63"/>
    <n v="5.2375416000000001"/>
    <n v="5.2375416000000001"/>
    <n v="63.99"/>
    <n v="63.99"/>
    <n v="63.99"/>
    <n v="63.99"/>
    <n v="12.798"/>
    <n v="18.035541600000002"/>
    <n v="24"/>
    <n v="25"/>
    <s v="8GiB NAND"/>
  </r>
  <r>
    <d v="2018-11-23T00:00:00"/>
    <x v="1"/>
    <s v="FireCuda SSHD"/>
    <x v="3"/>
    <x v="0"/>
    <x v="5"/>
    <x v="0"/>
    <n v="4.16"/>
    <n v="9.5"/>
    <n v="0.33333333333333326"/>
    <n v="156"/>
    <n v="5"/>
    <n v="300000"/>
    <n v="55"/>
    <x v="1"/>
    <n v="100000000000000"/>
    <n v="24"/>
    <n v="6.7"/>
    <n v="3.36"/>
    <n v="0.75"/>
    <n v="4.4135601600000003"/>
    <n v="2.2067800800000001"/>
    <n v="79.989999999999995"/>
    <n v="39.994999999999997"/>
    <n v="79.989999999999995"/>
    <n v="39.994999999999997"/>
    <n v="7.9989999999999997"/>
    <n v="10.20578008"/>
    <n v="26"/>
    <n v="27"/>
    <s v="8GiB NAND"/>
  </r>
  <r>
    <d v="2019-04-08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  <n v="17.652981440000001"/>
    <n v="20"/>
    <n v="22"/>
    <m/>
  </r>
  <r>
    <d v="2019-04-08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79.989999999999995"/>
    <n v="39.994999999999997"/>
    <n v="97.587799999999987"/>
    <n v="48.793899999999994"/>
    <n v="9.758779999999998"/>
    <n v="11.790244879999998"/>
    <n v="20"/>
    <n v="22"/>
    <m/>
  </r>
  <r>
    <d v="2019-04-08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0"/>
    <n v="33.333333333333336"/>
    <n v="122"/>
    <n v="40.666666666666664"/>
    <n v="8.1333333333333329"/>
    <n v="9.8864853333333329"/>
    <n v="24"/>
    <n v="26"/>
    <m/>
  </r>
  <r>
    <d v="2019-04-08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5.58"/>
    <n v="28.895"/>
    <n v="141.0076"/>
    <n v="35.251899999999999"/>
    <n v="7.0503799999999996"/>
    <n v="8.1789716000000006"/>
    <n v="24"/>
    <n v="26"/>
    <m/>
  </r>
  <r>
    <d v="2019-04-08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4.99"/>
    <n v="30.831666666666667"/>
    <n v="225.68780000000001"/>
    <n v="37.614633333333337"/>
    <n v="7.5229266666666676"/>
    <n v="8.8706622666666668"/>
    <n v="28"/>
    <n v="29"/>
    <m/>
  </r>
  <r>
    <d v="2019-04-08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31.99"/>
    <n v="28.998750000000001"/>
    <n v="283.02780000000001"/>
    <n v="35.378475000000002"/>
    <n v="7.0756950000000005"/>
    <n v="8.1495005999999997"/>
    <n v="28"/>
    <n v="29"/>
    <m/>
  </r>
  <r>
    <d v="2019-04-08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5.454000000000001"/>
    <n v="7.59"/>
    <n v="5.07"/>
    <n v="1.17"/>
    <n v="6.1075432800000007"/>
    <n v="0.61075432800000007"/>
    <n v="299.99"/>
    <n v="29.999000000000002"/>
    <n v="365.98779999999999"/>
    <n v="36.598779999999998"/>
    <n v="7.3197559999999999"/>
    <n v="7.9305103280000004"/>
    <n v="30"/>
    <n v="34"/>
    <m/>
  </r>
  <r>
    <d v="2019-04-08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5.454000000000001"/>
    <n v="7.59"/>
    <n v="5.07"/>
    <n v="1.17"/>
    <n v="6.1075432800000007"/>
    <n v="0.50896194000000006"/>
    <n v="369.59"/>
    <n v="30.799166666666665"/>
    <n v="450.89979999999997"/>
    <n v="37.574983333333329"/>
    <n v="7.5149966666666659"/>
    <n v="8.0239586066666657"/>
    <n v="30"/>
    <n v="34"/>
    <m/>
  </r>
  <r>
    <d v="2019-04-08T00:00:00"/>
    <x v="1"/>
    <s v="IronWolf"/>
    <x v="0"/>
    <x v="0"/>
    <x v="13"/>
    <x v="0"/>
    <n v="4.16"/>
    <m/>
    <n v="0.33333333333333326"/>
    <n v="210"/>
    <n v="3"/>
    <n v="600000"/>
    <n v="180"/>
    <x v="0"/>
    <n v="1000000000000000"/>
    <n v="25.454000000000001"/>
    <n v="7.59"/>
    <n v="5.07"/>
    <n v="1.17"/>
    <n v="6.1075432800000007"/>
    <n v="0.43625309142857149"/>
    <n v="499.99"/>
    <n v="35.713571428571427"/>
    <n v="609.98779999999999"/>
    <n v="43.57055714285714"/>
    <n v="8.7141114285714281"/>
    <n v="9.1503645200000001"/>
    <n v="20"/>
    <n v="28"/>
    <m/>
  </r>
  <r>
    <d v="2019-03-07T00:00:00"/>
    <x v="1"/>
    <s v="IronWolf Pro"/>
    <x v="0"/>
    <x v="0"/>
    <x v="5"/>
    <x v="0"/>
    <n v="4.16"/>
    <m/>
    <n v="0.33333333333333326"/>
    <n v="195"/>
    <n v="5"/>
    <n v="600000"/>
    <n v="300"/>
    <x v="5"/>
    <n v="1000000000000000"/>
    <n v="24"/>
    <n v="6.5"/>
    <n v="4.6100000000000003"/>
    <n v="0.8"/>
    <n v="5.4654513600000012"/>
    <n v="2.7327256800000006"/>
    <n v="116.99"/>
    <n v="58.494999999999997"/>
    <n v="116.99"/>
    <n v="58.494999999999997"/>
    <n v="11.699"/>
    <n v="14.43172568"/>
    <n v="30"/>
    <n v="34"/>
    <m/>
  </r>
  <r>
    <d v="2018-09-11T00:00:00"/>
    <x v="1"/>
    <s v="IronWolf Pro"/>
    <x v="0"/>
    <x v="0"/>
    <x v="0"/>
    <x v="0"/>
    <n v="4.16"/>
    <m/>
    <n v="0.33333333333333326"/>
    <n v="214"/>
    <n v="5"/>
    <n v="600000"/>
    <n v="300"/>
    <x v="5"/>
    <n v="1000000000000000"/>
    <n v="24"/>
    <n v="8.5"/>
    <n v="5.45"/>
    <n v="0.6"/>
    <n v="6.6400632000000002"/>
    <n v="1.6600158"/>
    <n v="173.76"/>
    <n v="43.44"/>
    <n v="173.76"/>
    <n v="43.44"/>
    <n v="8.6879999999999988"/>
    <n v="10.348015799999999"/>
    <n v="30"/>
    <n v="34"/>
    <m/>
  </r>
  <r>
    <d v="2019-03-07T00:00:00"/>
    <x v="1"/>
    <s v="IronWolf Pro"/>
    <x v="0"/>
    <x v="0"/>
    <x v="1"/>
    <x v="0"/>
    <n v="4.16"/>
    <m/>
    <n v="0.33333333333333326"/>
    <n v="214"/>
    <n v="5"/>
    <n v="600000"/>
    <n v="300"/>
    <x v="5"/>
    <n v="1000000000000000"/>
    <n v="24"/>
    <n v="8.1"/>
    <n v="7.5"/>
    <n v="0.6"/>
    <n v="8.3493864000000002"/>
    <n v="1.3915644"/>
    <n v="189.99"/>
    <n v="31.665000000000003"/>
    <n v="189.99"/>
    <n v="31.665000000000003"/>
    <n v="6.3330000000000002"/>
    <n v="7.7245644000000002"/>
    <n v="30"/>
    <n v="34"/>
    <m/>
  </r>
  <r>
    <d v="2018-09-11T00:00:00"/>
    <x v="1"/>
    <s v="IronWolf Pro"/>
    <x v="0"/>
    <x v="0"/>
    <x v="2"/>
    <x v="0"/>
    <n v="4.16"/>
    <m/>
    <n v="0.33333333333333326"/>
    <n v="214"/>
    <n v="5"/>
    <n v="600000"/>
    <n v="300"/>
    <x v="5"/>
    <n v="1000000000000000"/>
    <n v="24"/>
    <n v="7.4"/>
    <n v="4.4000000000000004"/>
    <n v="0.8"/>
    <n v="5.478600000000001"/>
    <n v="0.68482500000000013"/>
    <n v="264.57"/>
    <n v="33.071249999999999"/>
    <n v="264.57"/>
    <n v="33.071249999999999"/>
    <n v="6.6142500000000002"/>
    <n v="7.2990750000000002"/>
    <n v="30"/>
    <n v="34"/>
    <m/>
  </r>
  <r>
    <d v="2019-03-07T00:00:00"/>
    <x v="1"/>
    <s v="IronWolf Pro"/>
    <x v="0"/>
    <x v="0"/>
    <x v="3"/>
    <x v="0"/>
    <n v="4.16"/>
    <m/>
    <n v="0.33333333333333326"/>
    <n v="238"/>
    <n v="5"/>
    <n v="600000"/>
    <n v="300"/>
    <x v="5"/>
    <n v="1000000000000000"/>
    <n v="25.45"/>
    <n v="8.33"/>
    <n v="5.07"/>
    <n v="1.17"/>
    <n v="6.2697098400000009"/>
    <n v="0.62697098400000006"/>
    <n v="324.99"/>
    <n v="32.499000000000002"/>
    <n v="324.99"/>
    <n v="32.499000000000002"/>
    <n v="6.4998000000000005"/>
    <n v="7.1267709840000002"/>
    <n v="20"/>
    <n v="28"/>
    <m/>
  </r>
  <r>
    <d v="2019-03-07T00:00:00"/>
    <x v="1"/>
    <s v="IronWolf Pro"/>
    <x v="0"/>
    <x v="0"/>
    <x v="12"/>
    <x v="0"/>
    <n v="4.16"/>
    <m/>
    <n v="0.33333333333333326"/>
    <n v="238"/>
    <n v="5"/>
    <n v="600000"/>
    <n v="300"/>
    <x v="5"/>
    <n v="1000000000000000"/>
    <n v="25.45"/>
    <n v="8.33"/>
    <n v="5.07"/>
    <n v="1.17"/>
    <n v="6.2697098400000009"/>
    <n v="0.52247582000000004"/>
    <n v="411.99"/>
    <n v="34.332500000000003"/>
    <n v="411.99"/>
    <n v="34.332500000000003"/>
    <n v="6.8665000000000003"/>
    <n v="7.3889758200000006"/>
    <n v="20"/>
    <n v="28"/>
    <m/>
  </r>
  <r>
    <d v="2019-03-07T00:00:00"/>
    <x v="1"/>
    <s v="IronWolf Pro"/>
    <x v="0"/>
    <x v="0"/>
    <x v="13"/>
    <x v="0"/>
    <n v="4.16"/>
    <m/>
    <n v="0.33333333333333326"/>
    <n v="238"/>
    <n v="5"/>
    <n v="600000"/>
    <n v="300"/>
    <x v="5"/>
    <n v="1000000000000000"/>
    <n v="25.45"/>
    <n v="8.33"/>
    <n v="5.07"/>
    <n v="1.17"/>
    <n v="6.2697098400000009"/>
    <n v="0.44783641714285721"/>
    <n v="559.99"/>
    <n v="39.999285714285712"/>
    <n v="559.99"/>
    <n v="39.999285714285712"/>
    <n v="7.9998571428571426"/>
    <n v="8.4476935599999994"/>
    <n v="20"/>
    <n v="28"/>
    <m/>
  </r>
  <r>
    <d v="2018-03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76.12"/>
    <n v="44.03"/>
    <n v="214.8664"/>
    <n v="53.7166"/>
    <n v="10.743320000000001"/>
    <n v="12.104752100000001"/>
    <m/>
    <m/>
    <m/>
  </r>
  <r>
    <d v="2018-06-08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n v="15.2831928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n v="10.2940284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n v="10.558312266666666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7.9212867999999999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7.4502871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n v="540.67999999999995"/>
    <n v="54.067999999999998"/>
    <n v="540.67999999999995"/>
    <n v="54.067999999999998"/>
    <n v="10.813599999999999"/>
    <n v="11.672644479999999"/>
    <n v="34"/>
    <m/>
    <s v="Persistant Write Cache"/>
  </r>
  <r>
    <d v="2018-08-28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n v="449.88"/>
    <n v="37.49"/>
    <n v="449.88"/>
    <n v="37.49"/>
    <n v="7.4980000000000002"/>
    <n v="7.9220436400000001"/>
    <n v="20"/>
    <m/>
    <s v="Helium filled"/>
  </r>
  <r>
    <d v="2018-08-28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n v="549.98"/>
    <n v="39.284285714285716"/>
    <n v="549.98"/>
    <n v="39.284285714285716"/>
    <n v="7.8568571428571428"/>
    <n v="8.2431767085714291"/>
    <n v="20"/>
    <m/>
    <s v="Helium filled"/>
  </r>
  <r>
    <d v="2018-07-03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89.99"/>
    <n v="241.65833333333336"/>
    <n v="289.99"/>
    <n v="241.65833333333336"/>
    <n v="48.331666666666671"/>
    <n v="52.166686666666671"/>
    <m/>
    <m/>
    <s v="Persistant Write Cache"/>
  </r>
  <r>
    <d v="2018-07-03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n v="47.669620000000002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s v=""/>
    <n v="0"/>
    <s v=""/>
    <s v=""/>
    <s v=""/>
    <s v=" "/>
    <m/>
    <s v="Persistant Write Cache"/>
  </r>
  <r>
    <d v="2018-07-03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99.99"/>
    <n v="499.98333333333335"/>
    <n v="299.99"/>
    <n v="499.98333333333335"/>
    <n v="99.99666666666667"/>
    <n v="111.46520266666667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n v="40.979023999999995"/>
    <m/>
    <m/>
    <s v="Persistant Write Cache"/>
  </r>
  <r>
    <d v="2018-07-03T00:00:00"/>
    <x v="2"/>
    <s v="HDKFB06"/>
    <x v="1"/>
    <x v="1"/>
    <x v="6"/>
    <x v="1"/>
    <n v="5.56"/>
    <m/>
    <n v="0"/>
    <n v="148"/>
    <n v="2"/>
    <n v="600000"/>
    <m/>
    <x v="1"/>
    <n v="100000000000000"/>
    <m/>
    <n v="1.7"/>
    <n v="0.7"/>
    <m/>
    <n v="0.98614800000000002"/>
    <n v="0.32871600000000001"/>
    <n v="128.69"/>
    <n v="42.896666666666668"/>
    <n v="171.15769999999998"/>
    <n v="57.052566666666657"/>
    <n v="11.410513333333331"/>
    <n v="11.739229333333331"/>
    <n v="25"/>
    <n v="25"/>
    <m/>
  </r>
  <r>
    <d v="2018-11-19T00:00:00"/>
    <x v="2"/>
    <s v="L200"/>
    <x v="1"/>
    <x v="1"/>
    <x v="4"/>
    <x v="1"/>
    <n v="5.56"/>
    <m/>
    <n v="0"/>
    <m/>
    <n v="2"/>
    <m/>
    <m/>
    <x v="1"/>
    <n v="100000000000000"/>
    <m/>
    <n v="1.5"/>
    <n v="0.55000000000000004"/>
    <m/>
    <n v="0.81083280000000013"/>
    <n v="0.81083280000000013"/>
    <n v="46.99"/>
    <n v="46.99"/>
    <n v="62.496700000000004"/>
    <n v="62.496700000000004"/>
    <n v="12.49934"/>
    <n v="13.3101728"/>
    <n v="23"/>
    <n v="24"/>
    <m/>
  </r>
  <r>
    <d v="2018-11-08T00:00:00"/>
    <x v="2"/>
    <s v="L200"/>
    <x v="1"/>
    <x v="1"/>
    <x v="5"/>
    <x v="1"/>
    <m/>
    <m/>
    <n v="0"/>
    <m/>
    <n v="2"/>
    <m/>
    <m/>
    <x v="1"/>
    <n v="100000000000000"/>
    <m/>
    <m/>
    <m/>
    <m/>
    <n v="0"/>
    <n v="0"/>
    <n v="74.412000000000006"/>
    <n v="37.206000000000003"/>
    <n v="98.967960000000005"/>
    <n v="49.483980000000003"/>
    <n v="9.8967960000000001"/>
    <n v="9.8967960000000001"/>
    <n v="23"/>
    <n v="24"/>
    <m/>
  </r>
  <r>
    <d v="2019-04-25T00:00:00"/>
    <x v="2"/>
    <s v="MG08ACA16T"/>
    <x v="0"/>
    <x v="0"/>
    <x v="15"/>
    <x v="0"/>
    <m/>
    <m/>
    <n v="0.33333333333333326"/>
    <m/>
    <m/>
    <n v="600000"/>
    <n v="550"/>
    <x v="3"/>
    <n v="1E+16"/>
    <m/>
    <m/>
    <m/>
    <m/>
    <m/>
    <m/>
    <m/>
    <n v="0"/>
    <n v="0"/>
    <n v="0"/>
    <n v="0"/>
    <s v=""/>
    <n v="20"/>
    <m/>
    <s v="Helium filled"/>
  </r>
  <r>
    <d v="2018-09-20T00:00:00"/>
    <x v="2"/>
    <s v="MN04ACA400"/>
    <x v="0"/>
    <x v="0"/>
    <x v="0"/>
    <x v="0"/>
    <m/>
    <m/>
    <n v="0.33333333333333326"/>
    <n v="195"/>
    <m/>
    <n v="600000"/>
    <n v="550"/>
    <x v="3"/>
    <n v="1E+16"/>
    <m/>
    <n v="9.6"/>
    <n v="5.2"/>
    <m/>
    <n v="6.6619776000000011"/>
    <n v="1.6654944000000003"/>
    <m/>
    <m/>
    <m/>
    <m/>
    <m/>
    <s v=""/>
    <n v="30"/>
    <n v="34"/>
    <m/>
  </r>
  <r>
    <d v="2018-09-20T00:00:00"/>
    <x v="2"/>
    <s v="MN05ACA600"/>
    <x v="0"/>
    <x v="0"/>
    <x v="1"/>
    <x v="0"/>
    <m/>
    <m/>
    <n v="0.33333333333333326"/>
    <n v="205"/>
    <m/>
    <n v="600000"/>
    <n v="550"/>
    <x v="3"/>
    <n v="1E+16"/>
    <m/>
    <n v="10.1"/>
    <n v="6.7"/>
    <m/>
    <n v="8.0864136000000002"/>
    <n v="1.3477356"/>
    <m/>
    <m/>
    <m/>
    <m/>
    <m/>
    <s v=""/>
    <n v="33"/>
    <n v="35"/>
    <m/>
  </r>
  <r>
    <d v="2018-09-20T00:00:00"/>
    <x v="2"/>
    <s v="MN05ACA800"/>
    <x v="0"/>
    <x v="0"/>
    <x v="2"/>
    <x v="0"/>
    <m/>
    <m/>
    <n v="0.33333333333333326"/>
    <n v="230"/>
    <m/>
    <n v="600000"/>
    <n v="550"/>
    <x v="3"/>
    <n v="1E+16"/>
    <m/>
    <n v="9.1999999999999993"/>
    <n v="6.2"/>
    <m/>
    <n v="7.4508960000000002"/>
    <n v="0.93136200000000002"/>
    <m/>
    <m/>
    <m/>
    <m/>
    <m/>
    <s v=""/>
    <n v="33"/>
    <n v="35"/>
    <m/>
  </r>
  <r>
    <d v="2018-09-20T00:00:00"/>
    <x v="2"/>
    <s v="MN06ACA10T"/>
    <x v="0"/>
    <x v="0"/>
    <x v="3"/>
    <x v="0"/>
    <m/>
    <m/>
    <n v="0.33333333333333326"/>
    <n v="237"/>
    <m/>
    <n v="600000"/>
    <n v="550"/>
    <x v="3"/>
    <n v="1E+16"/>
    <m/>
    <n v="9.92"/>
    <n v="7.22"/>
    <m/>
    <n v="8.5027872000000002"/>
    <n v="0.85027872000000004"/>
    <m/>
    <m/>
    <m/>
    <m/>
    <m/>
    <s v=""/>
    <n v="34"/>
    <n v="35"/>
    <m/>
  </r>
  <r>
    <d v="2019-04-25T00:00:00"/>
    <x v="2"/>
    <s v="MN07ACA12T"/>
    <x v="0"/>
    <x v="0"/>
    <x v="12"/>
    <x v="0"/>
    <m/>
    <m/>
    <n v="0.33333333333333326"/>
    <n v="242"/>
    <m/>
    <n v="600000"/>
    <n v="550"/>
    <x v="3"/>
    <n v="1E+16"/>
    <m/>
    <n v="7.83"/>
    <n v="4.25"/>
    <m/>
    <n v="5.4413455200000005"/>
    <n v="0.45344546000000002"/>
    <m/>
    <m/>
    <m/>
    <m/>
    <m/>
    <s v=""/>
    <n v="20"/>
    <n v="35"/>
    <m/>
  </r>
  <r>
    <d v="2019-04-25T00:00:00"/>
    <x v="2"/>
    <s v="MN07ACA14T"/>
    <x v="0"/>
    <x v="0"/>
    <x v="13"/>
    <x v="0"/>
    <m/>
    <m/>
    <n v="0.33333333333333326"/>
    <n v="248"/>
    <m/>
    <n v="600000"/>
    <n v="550"/>
    <x v="3"/>
    <n v="1E+16"/>
    <m/>
    <n v="8.09"/>
    <n v="4.53"/>
    <m/>
    <n v="5.7437642400000009"/>
    <n v="0.41026887428571435"/>
    <m/>
    <m/>
    <m/>
    <m/>
    <m/>
    <s v=""/>
    <n v="20"/>
    <n v="35"/>
    <m/>
  </r>
  <r>
    <d v="2019-04-24T00:00:00"/>
    <x v="2"/>
    <s v="N300"/>
    <x v="0"/>
    <x v="0"/>
    <x v="0"/>
    <x v="0"/>
    <n v="4.17"/>
    <m/>
    <n v="0.33333333333333326"/>
    <n v="200"/>
    <n v="3"/>
    <n v="300000"/>
    <n v="180"/>
    <x v="0"/>
    <n v="100000000000000"/>
    <m/>
    <n v="9.6"/>
    <n v="5.2"/>
    <m/>
    <n v="6.6619776000000011"/>
    <n v="1.6654944000000003"/>
    <n v="116.99"/>
    <n v="29.247499999999999"/>
    <n v="142.7278"/>
    <n v="35.681950000000001"/>
    <n v="7.1363900000000005"/>
    <n v="8.8018844000000005"/>
    <n v="30"/>
    <n v="34"/>
    <m/>
  </r>
  <r>
    <d v="2019-04-25T00:00:00"/>
    <x v="2"/>
    <s v="N300"/>
    <x v="0"/>
    <x v="0"/>
    <x v="1"/>
    <x v="0"/>
    <n v="4.17"/>
    <m/>
    <n v="0.33333333333333326"/>
    <n v="210"/>
    <n v="3"/>
    <n v="300000"/>
    <n v="180"/>
    <x v="0"/>
    <n v="100000000000000"/>
    <m/>
    <n v="10.1"/>
    <n v="6.7"/>
    <m/>
    <n v="8.0864136000000002"/>
    <n v="1.3477356"/>
    <n v="174.92"/>
    <n v="29.153333333333332"/>
    <n v="213.4024"/>
    <n v="35.567066666666669"/>
    <n v="7.1134133333333338"/>
    <n v="8.4611489333333338"/>
    <n v="33"/>
    <n v="35"/>
    <m/>
  </r>
  <r>
    <d v="2019-04-24T00:00:00"/>
    <x v="2"/>
    <s v="N300"/>
    <x v="0"/>
    <x v="0"/>
    <x v="2"/>
    <x v="0"/>
    <n v="4.17"/>
    <m/>
    <n v="0.33333333333333326"/>
    <n v="240"/>
    <n v="3"/>
    <n v="300000"/>
    <n v="180"/>
    <x v="0"/>
    <n v="100000000000000"/>
    <m/>
    <n v="9.1999999999999993"/>
    <n v="6.2"/>
    <m/>
    <n v="7.4508960000000002"/>
    <n v="0.93136200000000002"/>
    <n v="219.99"/>
    <n v="27.498750000000001"/>
    <n v="268.38780000000003"/>
    <n v="33.548475000000003"/>
    <n v="6.7096950000000009"/>
    <n v="7.6410570000000009"/>
    <n v="33"/>
    <n v="35"/>
    <m/>
  </r>
  <r>
    <d v="2019-04-24T00:00:00"/>
    <x v="2"/>
    <s v="N300"/>
    <x v="0"/>
    <x v="0"/>
    <x v="3"/>
    <x v="0"/>
    <n v="4.17"/>
    <m/>
    <n v="0.33333333333333326"/>
    <n v="240"/>
    <n v="3"/>
    <n v="300000"/>
    <n v="180"/>
    <x v="0"/>
    <n v="100000000000000"/>
    <m/>
    <n v="9.1999999999999993"/>
    <n v="7.2"/>
    <m/>
    <n v="8.3274720000000002"/>
    <n v="0.83274720000000002"/>
    <n v="295.99"/>
    <n v="29.599"/>
    <n v="361.1078"/>
    <n v="36.110779999999998"/>
    <n v="7.222156"/>
    <n v="8.0549032"/>
    <n v="34"/>
    <n v="35"/>
    <m/>
  </r>
  <r>
    <d v="2019-04-24T00:00:00"/>
    <x v="2"/>
    <s v="N300"/>
    <x v="0"/>
    <x v="0"/>
    <x v="12"/>
    <x v="0"/>
    <n v="4.17"/>
    <m/>
    <n v="0.33333333333333326"/>
    <m/>
    <n v="3"/>
    <m/>
    <m/>
    <x v="1"/>
    <m/>
    <m/>
    <m/>
    <m/>
    <m/>
    <n v="0"/>
    <n v="0"/>
    <n v="389.99900000000002"/>
    <n v="32.499916666666671"/>
    <n v="475.79878000000002"/>
    <n v="39.649898333333333"/>
    <n v="7.9299796666666662"/>
    <n v="7.9299796666666662"/>
    <n v="34"/>
    <n v="35"/>
    <s v="Helium filled"/>
  </r>
  <r>
    <d v="2019-04-24T00:00:00"/>
    <x v="2"/>
    <s v="N300"/>
    <x v="0"/>
    <x v="0"/>
    <x v="13"/>
    <x v="0"/>
    <n v="4.17"/>
    <m/>
    <n v="0.33333333333333326"/>
    <m/>
    <n v="3"/>
    <m/>
    <m/>
    <x v="1"/>
    <m/>
    <m/>
    <m/>
    <m/>
    <m/>
    <n v="0"/>
    <n v="0"/>
    <n v="519.99"/>
    <n v="37.142142857142858"/>
    <n v="634.38779999999997"/>
    <n v="45.313414285714281"/>
    <n v="9.0626828571428568"/>
    <n v="9.0626828571428568"/>
    <n v="34"/>
    <n v="35"/>
    <s v="Helium filled"/>
  </r>
  <r>
    <d v="2019-04-24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n v="17.943192799999998"/>
    <n v="24"/>
    <n v="26"/>
    <m/>
  </r>
  <r>
    <d v="2018-08-27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48.99"/>
    <n v="24.495000000000001"/>
    <n v="65.156700000000001"/>
    <n v="32.57835"/>
    <n v="6.5156700000000001"/>
    <n v="9.4960284000000001"/>
    <n v="27"/>
    <n v="28"/>
    <m/>
  </r>
  <r>
    <d v="2019-04-24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89.99"/>
    <n v="29.996666666666666"/>
    <n v="119.6867"/>
    <n v="39.895566666666667"/>
    <n v="7.9791133333333333"/>
    <n v="9.9660189333333342"/>
    <n v="27"/>
    <n v="28"/>
    <m/>
  </r>
  <r>
    <d v="2019-04-24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4.02"/>
    <n v="28.504999999999999"/>
    <n v="151.64659999999998"/>
    <n v="37.911649999999995"/>
    <n v="7.5823299999999989"/>
    <n v="9.516275799999999"/>
    <n v="31"/>
    <m/>
    <m/>
  </r>
  <r>
    <d v="2019-04-24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09.99"/>
    <n v="21.997999999999998"/>
    <n v="146.2867"/>
    <n v="29.257339999999999"/>
    <n v="5.8514679999999997"/>
    <n v="7.3986246399999995"/>
    <n v="31"/>
    <m/>
    <m/>
  </r>
  <r>
    <d v="2019-04-24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71.32"/>
    <n v="28.553333333333331"/>
    <n v="227.85559999999998"/>
    <n v="37.97593333333333"/>
    <n v="7.5951866666666659"/>
    <n v="8.8844838666666668"/>
    <n v="34"/>
    <m/>
    <m/>
  </r>
  <r>
    <d v="2019-04-25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199.99"/>
    <n v="24.998750000000001"/>
    <n v="327.16669999999999"/>
    <n v="40.895837499999999"/>
    <n v="8.1791675000000001"/>
    <n v="9.1461404000000002"/>
    <n v="34"/>
    <m/>
    <m/>
  </r>
  <r>
    <d v="2019-04-25T00:00:00"/>
    <x v="2"/>
    <s v="X300"/>
    <x v="3"/>
    <x v="0"/>
    <x v="3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309.99"/>
    <n v="30.999000000000002"/>
    <n v="327.16669999999999"/>
    <n v="32.716670000000001"/>
    <n v="8.1791675000000001"/>
    <n v="9.1461404000000002"/>
    <n v="34"/>
    <m/>
    <m/>
  </r>
  <r>
    <d v="2019-03-07T00:00:00"/>
    <x v="2"/>
    <s v="X300"/>
    <x v="3"/>
    <x v="0"/>
    <x v="12"/>
    <x v="0"/>
    <m/>
    <m/>
    <n v="0.33333333333333326"/>
    <m/>
    <n v="2"/>
    <m/>
    <m/>
    <x v="1"/>
    <n v="100000000000000"/>
    <m/>
    <m/>
    <m/>
    <m/>
    <n v="0"/>
    <n v="0"/>
    <n v="399.99"/>
    <n v="33.332500000000003"/>
    <n v="531.98670000000004"/>
    <n v="44.332225000000001"/>
    <n v="8.8664450000000006"/>
    <n v="8.8664450000000006"/>
    <m/>
    <m/>
    <m/>
  </r>
  <r>
    <d v="2019-03-07T00:00:00"/>
    <x v="2"/>
    <s v="X300"/>
    <x v="3"/>
    <x v="0"/>
    <x v="13"/>
    <x v="0"/>
    <m/>
    <m/>
    <n v="0.33333333333333326"/>
    <m/>
    <n v="2"/>
    <m/>
    <m/>
    <x v="1"/>
    <m/>
    <m/>
    <m/>
    <m/>
    <m/>
    <n v="0"/>
    <n v="0"/>
    <n v="529.99"/>
    <n v="37.856428571428573"/>
    <n v="704.88670000000002"/>
    <n v="50.349049999999998"/>
    <n v="10.06981"/>
    <n v="10.06981"/>
    <m/>
    <m/>
    <m/>
  </r>
  <r>
    <d v="2018-03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  <n v="10.536000133333335"/>
    <m/>
    <m/>
    <m/>
  </r>
  <r>
    <d v="2018-11-04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1.99"/>
    <n v="61.99"/>
    <n v="61.99"/>
    <n v="61.99"/>
    <n v="12.398"/>
    <n v="13.49372"/>
    <n v="25"/>
    <n v="27"/>
    <m/>
  </r>
  <r>
    <d v="2019-04-07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74.989999999999995"/>
    <n v="74.989999999999995"/>
    <n v="74.989999999999995"/>
    <n v="74.989999999999995"/>
    <n v="14.997999999999999"/>
    <n v="21.835292799999998"/>
    <n v="29"/>
    <n v="30"/>
    <m/>
  </r>
  <r>
    <d v="2019-04-07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19.73"/>
    <n v="59.865000000000002"/>
    <n v="119.73"/>
    <n v="59.865000000000002"/>
    <n v="11.973000000000001"/>
    <n v="16.564066799999999"/>
    <n v="29"/>
    <n v="34"/>
    <m/>
  </r>
  <r>
    <d v="2019-04-24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54.99"/>
    <n v="38.747500000000002"/>
    <n v="154.99"/>
    <n v="38.747500000000002"/>
    <n v="7.7495000000000003"/>
    <n v="9.5190878000000012"/>
    <n v="29"/>
    <n v="36"/>
    <m/>
  </r>
  <r>
    <d v="2019-04-07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34.99"/>
    <n v="39.164999999999999"/>
    <n v="234.99"/>
    <n v="39.164999999999999"/>
    <n v="7.8330000000000002"/>
    <n v="9.2026500000000002"/>
    <n v="29"/>
    <n v="36"/>
    <m/>
  </r>
  <r>
    <d v="2018-07-03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4.99"/>
    <n v="44.99"/>
    <n v="59.8367"/>
    <n v="59.8367"/>
    <n v="11.96734"/>
    <n v="12.734344"/>
    <m/>
    <m/>
    <m/>
  </r>
  <r>
    <d v="2018-09-15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81.99"/>
    <n v="40.994999999999997"/>
    <n v="109.04669999999999"/>
    <n v="54.523349999999994"/>
    <n v="10.904669999999999"/>
    <n v="11.441572799999999"/>
    <m/>
    <m/>
    <m/>
  </r>
  <r>
    <d v="2018-12-25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1.391000000000005"/>
    <n v="41.391000000000005"/>
    <n v="55.050030000000007"/>
    <n v="55.050030000000007"/>
    <n v="11.010006000000001"/>
    <n v="13.924621200000001"/>
    <n v="21"/>
    <n v="24"/>
    <m/>
  </r>
  <r>
    <d v="2019-03-07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2.99"/>
    <n v="26.495000000000001"/>
    <n v="70.476699999999994"/>
    <n v="35.238349999999997"/>
    <n v="7.0476699999999992"/>
    <n v="8.8117792000000001"/>
    <n v="23"/>
    <n v="27"/>
    <m/>
  </r>
  <r>
    <d v="2018-07-17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  <n v="9.3325194666666658"/>
    <n v="23"/>
    <n v="27"/>
    <m/>
  </r>
  <r>
    <d v="2018-12-19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84.99"/>
    <n v="21.247499999999999"/>
    <n v="113.0367"/>
    <n v="28.259174999999999"/>
    <n v="5.6518350000000002"/>
    <n v="6.6872904000000002"/>
    <n v="25"/>
    <n v="28"/>
    <m/>
  </r>
  <r>
    <d v="2018-07-17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  <n v="8.5368602666666682"/>
    <n v="25"/>
    <n v="28"/>
    <m/>
  </r>
  <r>
    <d v="2019-04-24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94"/>
    <n v="94"/>
    <n v="94"/>
    <n v="94"/>
    <n v="18.8"/>
    <n v="25.746864800000001"/>
    <n v="25"/>
    <n v="28"/>
    <m/>
  </r>
  <r>
    <d v="2019-03-07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5"/>
    <n v="57.5"/>
    <n v="115"/>
    <n v="57.5"/>
    <n v="11.5"/>
    <n v="14.9734324"/>
    <n v="25"/>
    <n v="28"/>
    <m/>
  </r>
  <r>
    <d v="2019-04-24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9.99"/>
    <n v="42.497500000000002"/>
    <n v="169.99"/>
    <n v="42.497500000000002"/>
    <n v="8.4995000000000012"/>
    <n v="10.526582000000001"/>
    <n v="29"/>
    <n v="36"/>
    <m/>
  </r>
  <r>
    <d v="2019-04-24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34.19"/>
    <n v="39.031666666666666"/>
    <n v="234.19"/>
    <n v="39.031666666666666"/>
    <n v="7.8063333333333329"/>
    <n v="9.1832881333333329"/>
    <n v="29"/>
    <n v="36"/>
    <s v="Media caching"/>
  </r>
  <r>
    <d v="2019-04-24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14.85000000000002"/>
    <n v="39.356250000000003"/>
    <n v="314.85000000000002"/>
    <n v="39.356250000000003"/>
    <n v="7.8712500000000007"/>
    <n v="8.6272967999999999"/>
    <n v="20"/>
    <n v="36"/>
    <s v="Helium filled"/>
  </r>
  <r>
    <d v="2019-04-24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455.63"/>
    <n v="45.563000000000002"/>
    <n v="455.63"/>
    <n v="45.563000000000002"/>
    <n v="9.1126000000000005"/>
    <n v="9.7064802400000012"/>
    <n v="20"/>
    <n v="36"/>
    <s v="Helium filled"/>
  </r>
  <r>
    <d v="2019-04-24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565.79"/>
    <n v="47.149166666666666"/>
    <n v="565.79"/>
    <n v="47.149166666666666"/>
    <n v="9.4298333333333328"/>
    <n v="9.9229073333333329"/>
    <n v="20"/>
    <n v="36"/>
    <s v="Helium filled"/>
  </r>
  <r>
    <d v="2018-09-11T00:00:00"/>
    <x v="3"/>
    <s v="Red NAS"/>
    <x v="0"/>
    <x v="1"/>
    <x v="16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  <n v="21.271236266666666"/>
    <m/>
    <m/>
    <m/>
  </r>
  <r>
    <d v="2018-07-17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  <n v="18.456867200000001"/>
    <m/>
    <m/>
    <m/>
  </r>
  <r>
    <d v="2019-04-24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66.239999999999995"/>
    <n v="66.239999999999995"/>
    <n v="80.812799999999996"/>
    <n v="80.812799999999996"/>
    <n v="16.162559999999999"/>
    <n v="18.901859999999999"/>
    <n v="21"/>
    <n v="22"/>
    <m/>
  </r>
  <r>
    <d v="2019-04-24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0.989999999999995"/>
    <n v="40.494999999999997"/>
    <n v="98.807799999999986"/>
    <n v="49.403899999999993"/>
    <n v="9.8807799999999979"/>
    <n v="11.513402799999998"/>
    <n v="23"/>
    <n v="24"/>
    <m/>
  </r>
  <r>
    <d v="2019-04-24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89.09"/>
    <n v="29.696666666666669"/>
    <n v="108.68980000000001"/>
    <n v="36.229933333333335"/>
    <n v="7.245986666666667"/>
    <n v="8.334401866666667"/>
    <n v="23"/>
    <n v="24"/>
    <m/>
  </r>
  <r>
    <d v="2019-04-24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04.99"/>
    <n v="26.247499999999999"/>
    <n v="128.08779999999999"/>
    <n v="32.021949999999997"/>
    <n v="6.4043899999999994"/>
    <n v="7.3741021999999994"/>
    <n v="25"/>
    <n v="28"/>
    <m/>
  </r>
  <r>
    <d v="2019-03-07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n v="12.979076320000003"/>
    <m/>
    <m/>
    <m/>
  </r>
  <r>
    <d v="2019-04-24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219.99"/>
    <n v="36.664999999999999"/>
    <n v="268.38780000000003"/>
    <n v="44.731300000000005"/>
    <n v="8.9462600000000005"/>
    <n v="9.6365636000000006"/>
    <n v="25"/>
    <n v="28"/>
    <m/>
  </r>
  <r>
    <d v="2019-04-24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n v="8.3697846000000009"/>
    <n v="20"/>
    <n v="29"/>
    <s v="Helium filled"/>
  </r>
  <r>
    <d v="2019-04-2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264.99"/>
    <n v="26.499000000000002"/>
    <n v="323.2878"/>
    <n v="32.328780000000002"/>
    <n v="6.4657560000000007"/>
    <n v="6.8361093600000009"/>
    <n v="20"/>
    <n v="29"/>
    <s v="Helium filled"/>
  </r>
  <r>
    <d v="2019-03-07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19.99"/>
    <n v="59.994999999999997"/>
    <n v="119.99"/>
    <n v="59.994999999999997"/>
    <n v="11.998999999999999"/>
    <n v="15.483389599999999"/>
    <n v="31"/>
    <n v="34"/>
    <m/>
  </r>
  <r>
    <d v="2018-07-17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33.89"/>
    <n v="77.963333333333324"/>
    <n v="233.89"/>
    <n v="77.963333333333324"/>
    <n v="15.592666666666664"/>
    <n v="18.120127466666666"/>
    <m/>
    <m/>
    <m/>
  </r>
  <r>
    <d v="2019-03-07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82.99"/>
    <n v="45.747500000000002"/>
    <n v="182.99"/>
    <n v="45.747500000000002"/>
    <n v="9.1494999999999997"/>
    <n v="11.203975"/>
    <n v="29"/>
    <n v="36"/>
    <m/>
  </r>
  <r>
    <d v="2019-03-07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24.99"/>
    <n v="37.498333333333335"/>
    <n v="224.99"/>
    <n v="37.498333333333335"/>
    <n v="7.4996666666666671"/>
    <n v="8.8693166666666663"/>
    <n v="29"/>
    <n v="36"/>
    <m/>
  </r>
  <r>
    <d v="2019-03-07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06.91000000000003"/>
    <n v="38.363750000000003"/>
    <n v="306.91000000000003"/>
    <n v="38.363750000000003"/>
    <n v="7.6727500000000006"/>
    <n v="8.4698863000000006"/>
    <n v="20"/>
    <n v="36"/>
    <m/>
  </r>
  <r>
    <d v="2019-04-07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370.5"/>
    <n v="36.982999999999997"/>
    <n v="369.83"/>
    <n v="36.982999999999997"/>
    <n v="7.3965999999999994"/>
    <n v="7.7669533599999996"/>
    <n v="20"/>
    <n v="29"/>
    <m/>
  </r>
  <r>
    <d v="2019-04-07T00:00:00"/>
    <x v="3"/>
    <s v="Ultrastar DC HA210"/>
    <x v="0"/>
    <x v="0"/>
    <x v="4"/>
    <x v="0"/>
    <m/>
    <n v="8.3000000000000007"/>
    <n v="0.33333333333333326"/>
    <n v="191"/>
    <n v="5"/>
    <n v="600000"/>
    <n v="550"/>
    <x v="2"/>
    <n v="1000000000000000"/>
    <m/>
    <n v="8.1"/>
    <n v="5.9"/>
    <m/>
    <n v="3.7035336000000001"/>
    <n v="0.37035336000000002"/>
    <n v="87.08"/>
    <n v="87.08"/>
    <n v="87.08"/>
    <n v="87.08"/>
    <n v="17.416"/>
    <n v="17.78635336"/>
    <n v="25"/>
    <n v="28"/>
    <s v="Helium filled"/>
  </r>
  <r>
    <d v="2019-04-07T00:00:00"/>
    <x v="3"/>
    <s v="Ultrastar DC HA210"/>
    <x v="0"/>
    <x v="0"/>
    <x v="5"/>
    <x v="0"/>
    <m/>
    <n v="8.3000000000000007"/>
    <n v="0.33333333333333326"/>
    <n v="191"/>
    <n v="5"/>
    <n v="600000"/>
    <n v="550"/>
    <x v="2"/>
    <n v="1000000000000000"/>
    <m/>
    <n v="8.1"/>
    <n v="5.9"/>
    <m/>
    <n v="3.7035336000000001"/>
    <n v="0.37035336000000002"/>
    <n v="124.99"/>
    <n v="62.494999999999997"/>
    <n v="124.99"/>
    <n v="62.494999999999997"/>
    <n v="12.498999999999999"/>
    <n v="12.869353359999998"/>
    <n v="25"/>
    <n v="28"/>
    <s v="Helium filled"/>
  </r>
  <r>
    <d v="2019-04-07T00:00:00"/>
    <x v="3"/>
    <s v="Ultrastar DC HC310"/>
    <x v="0"/>
    <x v="0"/>
    <x v="0"/>
    <x v="0"/>
    <m/>
    <n v="8.6"/>
    <n v="0.33333333333333326"/>
    <n v="243"/>
    <n v="5"/>
    <n v="600000"/>
    <n v="550"/>
    <x v="2"/>
    <n v="1000000000000000"/>
    <m/>
    <n v="7"/>
    <n v="5.9"/>
    <m/>
    <n v="3.7035336000000001"/>
    <n v="0.37035336000000002"/>
    <n v="174.99"/>
    <n v="43.747500000000002"/>
    <n v="174.99"/>
    <n v="43.747500000000002"/>
    <n v="8.7495000000000012"/>
    <n v="9.1198533600000005"/>
    <n v="29"/>
    <n v="36"/>
    <s v="Helium filled"/>
  </r>
  <r>
    <d v="2019-04-07T00:00:00"/>
    <x v="3"/>
    <s v="Ultrastar DC HC310"/>
    <x v="0"/>
    <x v="0"/>
    <x v="1"/>
    <x v="0"/>
    <m/>
    <n v="8.6"/>
    <n v="0.33333333333333326"/>
    <n v="243"/>
    <n v="5"/>
    <n v="600000"/>
    <n v="550"/>
    <x v="2"/>
    <n v="1000000000000000"/>
    <m/>
    <n v="7"/>
    <n v="5.9"/>
    <m/>
    <n v="3.7035336000000001"/>
    <n v="0.37035336000000002"/>
    <n v="207.99"/>
    <n v="34.664999999999999"/>
    <n v="207.99"/>
    <n v="34.664999999999999"/>
    <n v="6.9329999999999998"/>
    <n v="7.30335336"/>
    <n v="29"/>
    <n v="36"/>
    <s v="Helium filled"/>
  </r>
  <r>
    <d v="2019-04-07T00:00:00"/>
    <x v="3"/>
    <s v="Ultrastar DC HC320"/>
    <x v="0"/>
    <x v="0"/>
    <x v="2"/>
    <x v="0"/>
    <m/>
    <n v="8.6"/>
    <n v="0.33333333333333326"/>
    <n v="243"/>
    <n v="5"/>
    <n v="600000"/>
    <n v="550"/>
    <x v="3"/>
    <n v="1000000000000000"/>
    <m/>
    <n v="8.8000000000000007"/>
    <n v="7.4"/>
    <m/>
    <n v="3.7035336000000001"/>
    <n v="0.37035336000000002"/>
    <n v="258.45"/>
    <n v="32.306249999999999"/>
    <n v="258.45"/>
    <n v="32.306249999999999"/>
    <n v="6.4612499999999997"/>
    <n v="6.8316033599999999"/>
    <n v="29"/>
    <n v="36"/>
    <s v="Helium filled"/>
  </r>
  <r>
    <d v="2019-04-07T00:00:00"/>
    <x v="3"/>
    <s v="Ultrastar DC HC510"/>
    <x v="0"/>
    <x v="0"/>
    <x v="3"/>
    <x v="0"/>
    <m/>
    <n v="8.6"/>
    <n v="0.33333333333333326"/>
    <n v="237"/>
    <n v="5"/>
    <n v="600000"/>
    <n v="550"/>
    <x v="3"/>
    <n v="1000000000000000"/>
    <m/>
    <n v="6.8"/>
    <n v="5"/>
    <m/>
    <n v="3.7035336000000001"/>
    <n v="0.37035336000000002"/>
    <n v="379.99"/>
    <n v="37.999000000000002"/>
    <n v="379.99"/>
    <n v="37.999000000000002"/>
    <n v="7.5998000000000001"/>
    <n v="7.9701533600000003"/>
    <n v="20"/>
    <n v="36"/>
    <s v="Helium filled"/>
  </r>
  <r>
    <d v="2019-04-07T00:00:00"/>
    <x v="3"/>
    <s v="Ultrastar DC HC520"/>
    <x v="0"/>
    <x v="0"/>
    <x v="12"/>
    <x v="0"/>
    <m/>
    <n v="8.6"/>
    <n v="0.33333333333333326"/>
    <n v="243"/>
    <n v="5"/>
    <n v="600000"/>
    <n v="550"/>
    <x v="3"/>
    <n v="1000000000000000"/>
    <m/>
    <n v="6.3"/>
    <n v="5"/>
    <m/>
    <n v="3.7035336000000001"/>
    <n v="0.37035336000000002"/>
    <n v="404.99"/>
    <n v="33.749166666666667"/>
    <n v="404.99"/>
    <n v="33.749166666666667"/>
    <n v="6.7498333333333331"/>
    <n v="7.1201866933333333"/>
    <n v="20"/>
    <n v="36"/>
    <s v="Helium filled"/>
  </r>
  <r>
    <d v="2019-04-07T00:00:00"/>
    <x v="3"/>
    <s v="Ultrastar DC HC530"/>
    <x v="0"/>
    <x v="0"/>
    <x v="13"/>
    <x v="0"/>
    <m/>
    <n v="7.5"/>
    <n v="0.33333333333333326"/>
    <n v="255"/>
    <n v="5"/>
    <n v="600000"/>
    <n v="550"/>
    <x v="3"/>
    <n v="1000000000000000"/>
    <m/>
    <n v="7.6"/>
    <n v="5.6"/>
    <m/>
    <n v="6.5743200000000002"/>
    <n v="0.46959428571428574"/>
    <n v="529.99"/>
    <n v="37.856428571428573"/>
    <n v="529.99"/>
    <n v="37.856428571428573"/>
    <n v="7.5712857142857146"/>
    <n v="8.0408799999999996"/>
    <n v="20"/>
    <n v="36"/>
    <s v="Helium filled"/>
  </r>
  <r>
    <d v="2019-04-07T00:00:00"/>
    <x v="3"/>
    <s v="Ultrastar DC HC620"/>
    <x v="2"/>
    <x v="0"/>
    <x v="13"/>
    <x v="0"/>
    <n v="4.16"/>
    <n v="12"/>
    <n v="0.33333333333333326"/>
    <n v="223"/>
    <n v="5"/>
    <n v="600000"/>
    <m/>
    <x v="3"/>
    <n v="1000000000000000"/>
    <m/>
    <n v="6.4"/>
    <n v="5.2"/>
    <m/>
    <n v="5.960716800000001"/>
    <n v="0.4257654857142858"/>
    <n v="599"/>
    <n v="42.785714285714285"/>
    <n v="599"/>
    <n v="42.785714285714285"/>
    <n v="8.5571428571428569"/>
    <n v="8.9829083428571419"/>
    <n v="20"/>
    <n v="36"/>
    <s v="Helium filled"/>
  </r>
  <r>
    <d v="2019-04-07T00:00:00"/>
    <x v="3"/>
    <s v="Ultrastar DC HC620"/>
    <x v="2"/>
    <x v="0"/>
    <x v="17"/>
    <x v="0"/>
    <n v="4.16"/>
    <n v="12"/>
    <n v="0.33333333333333326"/>
    <n v="244"/>
    <n v="5"/>
    <n v="600000"/>
    <m/>
    <x v="3"/>
    <n v="1000000000000000"/>
    <m/>
    <n v="6.4"/>
    <n v="5.2"/>
    <m/>
    <n v="5.960716800000001"/>
    <n v="0.39738112000000009"/>
    <m/>
    <s v=""/>
    <n v="0"/>
    <s v=""/>
    <n v="0"/>
    <n v="0"/>
    <n v="20"/>
    <n v="36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5">
  <location ref="A82:B120" firstHeaderRow="1" firstDataRow="1" firstDataCol="1" rowPageCount="4" colPageCount="1"/>
  <pivotFields count="31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21">
        <item m="1" x="19"/>
        <item x="11"/>
        <item x="16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8"/>
        <item x="17"/>
        <item x="15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axis="axisPage" multipleItemSelectionAllowed="1" showAll="0">
      <items count="8">
        <item x="6"/>
        <item x="4"/>
        <item x="0"/>
        <item x="5"/>
        <item x="2"/>
        <item x="3"/>
        <item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2">
    <field x="5"/>
    <field x="6"/>
  </rowFields>
  <rowItems count="38">
    <i>
      <x v="3"/>
    </i>
    <i r="1">
      <x v="7"/>
    </i>
    <i>
      <x v="4"/>
    </i>
    <i r="1">
      <x/>
    </i>
    <i r="1">
      <x v="2"/>
    </i>
    <i r="1">
      <x v="3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 r="1">
      <x v="3"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>
      <x v="16"/>
    </i>
    <i r="1">
      <x v="3"/>
    </i>
    <i>
      <x v="19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6" cacheId="8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4" firstHeaderRow="1" firstDataRow="1" firstDataCol="1" rowPageCount="2" colPageCount="1"/>
  <pivotFields count="31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21">
        <item m="1" x="18"/>
        <item m="1" x="19"/>
        <item x="11"/>
        <item x="16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x="17"/>
        <item x="15"/>
        <item t="default"/>
      </items>
    </pivotField>
    <pivotField numFmtId="3"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1">
    <field x="5"/>
  </rowFields>
  <rowItems count="13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71">
      <pivotArea dataOnly="0" labelOnly="1" fieldPosition="0">
        <references count="1">
          <reference field="5" count="0"/>
        </references>
      </pivotArea>
    </format>
    <format dxfId="70">
      <pivotArea outline="0" collapsedLevelsAreSubtotals="1" fieldPosition="0"/>
    </format>
    <format dxfId="69">
      <pivotArea type="all" dataOnly="0" outline="0" fieldPosition="0"/>
    </format>
    <format dxfId="68">
      <pivotArea outline="0" collapsedLevelsAreSubtotals="1" fieldPosition="0"/>
    </format>
    <format dxfId="67">
      <pivotArea field="5" type="button" dataOnly="0" labelOnly="1" outline="0" axis="axisRow" fieldPosition="0"/>
    </format>
    <format dxfId="66">
      <pivotArea dataOnly="0" labelOnly="1" outline="0" axis="axisValues" fieldPosition="0"/>
    </format>
    <format dxfId="65">
      <pivotArea dataOnly="0" labelOnly="1" fieldPosition="0">
        <references count="1">
          <reference field="5" count="0"/>
        </references>
      </pivotArea>
    </format>
    <format dxfId="64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5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1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72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2" cacheId="8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4">
  <location ref="A23:B36" firstHeaderRow="1" firstDataRow="1" firstDataCol="1" rowPageCount="2" colPageCount="1"/>
  <pivotFields count="31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21">
        <item m="1" x="18"/>
        <item m="1" x="19"/>
        <item x="11"/>
        <item x="16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x="17"/>
        <item x="15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howAll="0"/>
    <pivotField subtotalTop="0" showAll="0"/>
  </pivotFields>
  <rowFields count="1">
    <field x="5"/>
  </rowFields>
  <rowItems count="13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84">
      <pivotArea outline="0" collapsedLevelsAreSubtotals="1" fieldPosition="0"/>
    </format>
    <format dxfId="83">
      <pivotArea collapsedLevelsAreSubtotals="1" fieldPosition="0">
        <references count="1">
          <reference field="5" count="1">
            <x v="8"/>
          </reference>
        </references>
      </pivotArea>
    </format>
    <format dxfId="82">
      <pivotArea outline="0" collapsedLevelsAreSubtotals="1" fieldPosition="0"/>
    </format>
    <format dxfId="81">
      <pivotArea outline="0" collapsedLevelsAreSubtotals="1" fieldPosition="0"/>
    </format>
    <format dxfId="80">
      <pivotArea dataOnly="0" labelOnly="1" fieldPosition="0">
        <references count="1">
          <reference field="5" count="0"/>
        </references>
      </pivotArea>
    </format>
    <format dxfId="79">
      <pivotArea dataOnly="0" labelOnly="1" fieldPosition="0">
        <references count="1">
          <reference field="5" count="0"/>
        </references>
      </pivotArea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field="5" type="button" dataOnly="0" labelOnly="1" outline="0" axis="axisRow" fieldPosition="0"/>
    </format>
    <format dxfId="75">
      <pivotArea dataOnly="0" labelOnly="1" outline="0" axis="axisValues" fieldPosition="0"/>
    </format>
    <format dxfId="74">
      <pivotArea dataOnly="0" labelOnly="1" fieldPosition="0">
        <references count="1">
          <reference field="5" count="0"/>
        </references>
      </pivotArea>
    </format>
    <format dxfId="73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11">
  <location ref="A5:B18" firstHeaderRow="1" firstDataRow="1" firstDataCol="1" rowPageCount="2" colPageCount="1"/>
  <pivotFields count="31">
    <pivotField numFmtId="14" showAll="0"/>
    <pivotField showAll="0" defaultSubtotal="0"/>
    <pivotField showAll="0" defaultSubtotal="0"/>
    <pivotField axis="axisPage" showAll="0" defaultSubtotal="0">
      <items count="5">
        <item x="0"/>
        <item x="2"/>
        <item x="1"/>
        <item x="3"/>
        <item m="1" x="4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20">
        <item m="1" x="18"/>
        <item m="1" x="19"/>
        <item x="11"/>
        <item x="16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x="17"/>
        <item x="15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showAll="0" defaultSubtotal="0"/>
    <pivotField showAll="0" defaultSubtotal="0"/>
    <pivotField showAll="0" defaultSubtotal="0"/>
    <pivotField showAll="0" defaultSubtotal="0"/>
  </pivotFields>
  <rowFields count="1">
    <field x="5"/>
  </rowFields>
  <rowItems count="13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TB/Yr+Power" fld="27" subtotal="average" baseField="5" baseItem="4"/>
  </dataFields>
  <formats count="6">
    <format dxfId="90">
      <pivotArea outline="0" collapsedLevelsAreSubtotals="1" fieldPosition="0"/>
    </format>
    <format dxfId="89">
      <pivotArea dataOnly="0" labelOnly="1" fieldPosition="0">
        <references count="1">
          <reference field="5" count="0"/>
        </references>
      </pivotArea>
    </format>
    <format dxfId="88">
      <pivotArea type="all" dataOnly="0" outline="0" fieldPosition="0"/>
    </format>
    <format dxfId="87">
      <pivotArea field="5" type="button" dataOnly="0" labelOnly="1" outline="0" axis="axisRow" fieldPosition="0"/>
    </format>
    <format dxfId="86">
      <pivotArea dataOnly="0" labelOnly="1" outline="0" axis="axisValues" fieldPosition="0"/>
    </format>
    <format dxfId="85">
      <pivotArea dataOnly="0" labelOnly="1" grandRow="1" outline="0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E174" headerRowDxfId="139" headerRowBorderDxfId="138" tableBorderDxfId="137">
  <autoFilter ref="A2:AE174"/>
  <sortState ref="A3:X98">
    <sortCondition ref="B3:B98"/>
    <sortCondition ref="C3:C98"/>
    <sortCondition ref="F3:F98"/>
    <sortCondition ref="G3:G98"/>
  </sortState>
  <tableColumns count="31">
    <tableColumn id="1" name="Date" totalsRowLabel="Total" dataDxfId="136"/>
    <tableColumn id="2" name="Manu"/>
    <tableColumn id="3" name="Model" dataDxfId="135" totalsRowDxfId="134"/>
    <tableColumn id="21" name="Type" dataDxfId="133" totalsRowDxfId="132"/>
    <tableColumn id="29" name="FormFactor" dataDxfId="131" totalsRowDxfId="130"/>
    <tableColumn id="5" name="SizTB" dataDxfId="129" totalsRowDxfId="128"/>
    <tableColumn id="4" name="RPM" dataDxfId="127" totalsRowDxfId="126"/>
    <tableColumn id="27" name="AvgLatency" dataDxfId="125"/>
    <tableColumn id="28" name="SeekT" dataDxfId="124"/>
    <tableColumn id="6" name="PerfCmp" dataDxfId="123">
      <calculatedColumnFormula>(Table5[[#This Row],[RPM]]/5400-1)</calculatedColumnFormula>
    </tableColumn>
    <tableColumn id="26" name="XferRate" dataDxfId="122" totalsRowDxfId="121"/>
    <tableColumn id="7" name="Warranty"/>
    <tableColumn id="22" name="CycleCnt" dataDxfId="120"/>
    <tableColumn id="23" name="WorkLoad"/>
    <tableColumn id="24" name="MTBF" dataDxfId="119"/>
    <tableColumn id="25" name="RErrRate" dataDxfId="118"/>
    <tableColumn id="18" name="MaxStartupWatts" dataDxfId="117" totalsRowDxfId="116"/>
    <tableColumn id="8" name="Watts Active" dataDxfId="115"/>
    <tableColumn id="9" name="Watts Idle" dataDxfId="114"/>
    <tableColumn id="10" name="WattsStandby" dataDxfId="113"/>
    <tableColumn id="31" name="Energy$year" dataDxfId="112" totalsRowDxfId="111"/>
    <tableColumn id="30" name="Energy$yearPerTB" dataDxfId="110" totalsRowDxfId="109"/>
    <tableColumn id="11" name="Cost" dataDxfId="108" totalsRowDxfId="107"/>
    <tableColumn id="12" name="$ TB" dataDxfId="106" totalsRowDxfId="105">
      <calculatedColumnFormula>Table5[[#This Row],[Cost]]/Table5[[#This Row],[SizTB]]*Exchange_Rate</calculatedColumnFormula>
    </tableColumn>
    <tableColumn id="13" name="$+Warr" dataDxfId="104" totalsRowDxfId="103">
      <calculatedColumnFormula>Table5[[#This Row],[Cost]]+((CompareWarrYrs-Table5[[#This Row],[Warranty]])*(Incremental_Warr_Yr*Table5[[#This Row],[Cost]]))</calculatedColumnFormula>
    </tableColumn>
    <tableColumn id="14" name="$PerTB" dataDxfId="102" totalsRowDxfId="101">
      <calculatedColumnFormula>Table5[[#This Row],[$+Warr]]/Table5[[#This Row],[SizTB]]</calculatedColumnFormula>
    </tableColumn>
    <tableColumn id="15" name="$ TB/year" dataDxfId="100" totalsRowDxfId="99">
      <calculatedColumnFormula>Table5[[#This Row],[$PerTB]]/CompareWarrYrs</calculatedColumnFormula>
    </tableColumn>
    <tableColumn id="34" name="$TB/Yr+Power" dataDxfId="98" totalsRowDxfId="97">
      <calculatedColumnFormula>IF(OR(Table5[[#This Row],[$ TB/year]]="",Table5[[#This Row],[Energy$yearPerTB]]=""),"",Table5[[#This Row],[$ TB/year]]+Table5[[#This Row],[Energy$yearPerTB]])</calculatedColumnFormula>
    </tableColumn>
    <tableColumn id="17" name="DBA_Idle" dataDxfId="96" totalsRowDxfId="95"/>
    <tableColumn id="16" name="DBA_Seek" dataDxfId="94" totalsRowDxfId="93"/>
    <tableColumn id="19" name="Notes" totalsRowFunction="count" dataDxfId="92" totalsRowDxfId="91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21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42" Type="http://schemas.openxmlformats.org/officeDocument/2006/relationships/hyperlink" Target="https://www.seagate.com/internal-hard-drives/hdd/ironwolf/?sku=ST10000NE0004" TargetMode="External"/><Relationship Id="rId63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84" Type="http://schemas.openxmlformats.org/officeDocument/2006/relationships/hyperlink" Target="https://www.newegg.com/Product/Product.aspx?item=9SIABT182H3771" TargetMode="External"/><Relationship Id="rId138" Type="http://schemas.openxmlformats.org/officeDocument/2006/relationships/hyperlink" Target="https://toshiba.semicon-storage.com/us/product/storage-products/enterprise-hdd/mg07acaxxx.html" TargetMode="External"/><Relationship Id="rId159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170" Type="http://schemas.openxmlformats.org/officeDocument/2006/relationships/hyperlink" Target="https://www.seagate.com/internal-hard-drives/hdd/firecuda/" TargetMode="External"/><Relationship Id="rId191" Type="http://schemas.openxmlformats.org/officeDocument/2006/relationships/hyperlink" Target="https://www.newegg.com/Product/Product.aspx?Item=N82E16822145620" TargetMode="External"/><Relationship Id="rId205" Type="http://schemas.openxmlformats.org/officeDocument/2006/relationships/hyperlink" Target="https://www.newegg.com/Product/Product.aspx?Item=2RC-00D4-000H4&amp;ignorebbr=1&amp;cm_re=ultrastar_7k6000-_-2RC-00D4-000H4-_-Product" TargetMode="External"/><Relationship Id="rId226" Type="http://schemas.openxmlformats.org/officeDocument/2006/relationships/hyperlink" Target="https://www.seagate.com/www-content/product-content/ironwolf/en-us/docs/100835908c.pdf" TargetMode="External"/><Relationship Id="rId247" Type="http://schemas.openxmlformats.org/officeDocument/2006/relationships/hyperlink" Target="https://www.westerndigital.com/products/data-center-drives/ultrastar-dc-hc600-series-hdd" TargetMode="External"/><Relationship Id="rId107" Type="http://schemas.openxmlformats.org/officeDocument/2006/relationships/hyperlink" Target="https://www.newegg.com/Product/Product.aspx?Item=9SIA9945X11461&amp;cm_re=ultrastar_he12-_-9SIA9945X11461-_-Product" TargetMode="External"/><Relationship Id="rId11" Type="http://schemas.openxmlformats.org/officeDocument/2006/relationships/hyperlink" Target="https://www.seagate.com/files/www-content/datasheets/pdfs/exos-10e2400DS1959-1-1709US-en_US.pdf" TargetMode="External"/><Relationship Id="rId32" Type="http://schemas.openxmlformats.org/officeDocument/2006/relationships/hyperlink" Target="https://www.hgst.com/sites/default/files/resources/7K100_SATA_FINAL_DS.pdf" TargetMode="External"/><Relationship Id="rId53" Type="http://schemas.openxmlformats.org/officeDocument/2006/relationships/hyperlink" Target="https://www.newegg.com/Product/Product.aspx?Item=9SIA75M5XX1494" TargetMode="External"/><Relationship Id="rId74" Type="http://schemas.openxmlformats.org/officeDocument/2006/relationships/hyperlink" Target="https://smile.amazon.com/Seagate-IronWolf-3-5-Inch-Internal-ST8000VN0022/dp/B01M1BUBSO/ref=sr_1_cc_1?s=aps&amp;psr=PDAY&amp;ie=UTF8&amp;qid=1531855197&amp;sr=1-1-catcorr&amp;keywords=ironwolf" TargetMode="External"/><Relationship Id="rId128" Type="http://schemas.openxmlformats.org/officeDocument/2006/relationships/hyperlink" Target="https://www.newegg.com/Product/Product.aspx?item=1Z4-002P-00138" TargetMode="External"/><Relationship Id="rId149" Type="http://schemas.openxmlformats.org/officeDocument/2006/relationships/hyperlink" Target="https://www.newegg.com/Product/Product.aspx?Item=22-149-633&amp;Tpk=22-149-633" TargetMode="External"/><Relationship Id="rId5" Type="http://schemas.openxmlformats.org/officeDocument/2006/relationships/hyperlink" Target="https://www.hgst.com/products/hard-drives/ultrastar-c10k1800" TargetMode="External"/><Relationship Id="rId95" Type="http://schemas.openxmlformats.org/officeDocument/2006/relationships/hyperlink" Target="https://www.seagate.com/www-content/product-content/hdd-fam/seagate-archive-hdd/en-us/docs/archive-hdd-dS1834-3-1411us.pdf" TargetMode="External"/><Relationship Id="rId160" Type="http://schemas.openxmlformats.org/officeDocument/2006/relationships/hyperlink" Target="https://en.wikipedia.org/wiki/Decibel" TargetMode="External"/><Relationship Id="rId181" Type="http://schemas.openxmlformats.org/officeDocument/2006/relationships/hyperlink" Target="http://storage.toshiba.com/consumer-hdd/internal/l200" TargetMode="External"/><Relationship Id="rId216" Type="http://schemas.openxmlformats.org/officeDocument/2006/relationships/hyperlink" Target="http://www.memory4less.com/10tb-hard-disk-drives?filter=brand:toshiba;&amp;q=10tb-hard-disk-drives&amp;sz=20" TargetMode="External"/><Relationship Id="rId237" Type="http://schemas.openxmlformats.org/officeDocument/2006/relationships/hyperlink" Target="https://www.newegg.com/Product/Product.aspx?Item=N82E16822149748&amp;Description=x300%20toshiba&amp;cm_re=x300_toshiba-_-22-149-748-_-Product" TargetMode="External"/><Relationship Id="rId258" Type="http://schemas.openxmlformats.org/officeDocument/2006/relationships/hyperlink" Target="https://www.newegg.com/Product/Product.aspx?Item=N82E16822149729&amp;ignorebbr=1" TargetMode="External"/><Relationship Id="rId22" Type="http://schemas.openxmlformats.org/officeDocument/2006/relationships/hyperlink" Target="https://www.seagate.com/internal-hard-drives/hdd/firecuda/" TargetMode="External"/><Relationship Id="rId43" Type="http://schemas.openxmlformats.org/officeDocument/2006/relationships/hyperlink" Target="https://www.newegg.com/Product/Product.aspx?Item=N82E16822149747&amp;Description=x300%20toshiba&amp;cm_re=x300_toshiba-_-22-149-747-_-Product" TargetMode="External"/><Relationship Id="rId64" Type="http://schemas.openxmlformats.org/officeDocument/2006/relationships/hyperlink" Target="https://www.newegg.com/Product/Product.aspx?item=N82E16822235128" TargetMode="External"/><Relationship Id="rId118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39" Type="http://schemas.openxmlformats.org/officeDocument/2006/relationships/hyperlink" Target="https://toshiba.semicon-storage.com/us/product/storage-products/enterprise-hdd/mg07acaxxx.html" TargetMode="External"/><Relationship Id="rId85" Type="http://schemas.openxmlformats.org/officeDocument/2006/relationships/hyperlink" Target="https://www.newegg.com/Product/Product.aspx?item=N82E16822232558" TargetMode="External"/><Relationship Id="rId150" Type="http://schemas.openxmlformats.org/officeDocument/2006/relationships/hyperlink" Target="https://toshiba.semicon-storage.com/us/product/storage-products/enterprise-hdd/al14sxbxxex.html" TargetMode="External"/><Relationship Id="rId171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92" Type="http://schemas.openxmlformats.org/officeDocument/2006/relationships/hyperlink" Target="http://optocrypto.com/2017/10/04/western-digital-launches-new-hgst-ultrastar-hs14-14tb-hard-drive/" TargetMode="External"/><Relationship Id="rId206" Type="http://schemas.openxmlformats.org/officeDocument/2006/relationships/hyperlink" Target="https://www.newegg.com/Product/Product.aspx?item=N82E16822178941" TargetMode="External"/><Relationship Id="rId227" Type="http://schemas.openxmlformats.org/officeDocument/2006/relationships/hyperlink" Target="https://www.seagate.com/www-content/product-content/ironwolf/en-us/docs/100835984b.pdf" TargetMode="External"/><Relationship Id="rId248" Type="http://schemas.openxmlformats.org/officeDocument/2006/relationships/hyperlink" Target="https://www.westerndigital.com/products/data-center-drives/ultrastar-dc-hc600-series-hdd" TargetMode="External"/><Relationship Id="rId12" Type="http://schemas.openxmlformats.org/officeDocument/2006/relationships/hyperlink" Target="https://www.seagate.com/enterprise-storage/enterprise-models/?mod=exos-x10" TargetMode="External"/><Relationship Id="rId33" Type="http://schemas.openxmlformats.org/officeDocument/2006/relationships/hyperlink" Target="https://www.toshiba-storage.com/products/n300/?pdf" TargetMode="External"/><Relationship Id="rId108" Type="http://schemas.openxmlformats.org/officeDocument/2006/relationships/hyperlink" Target="https://www.newegg.com/Product/Product.aspx?Item=N82E16822146142&amp;cm_mmc=EMC-IGNEFL072018-_-EMC-072018-Index-_-DesktopInternalHardDrives-_-22146142-S1A2D&amp;ignorebbr=1" TargetMode="External"/><Relationship Id="rId129" Type="http://schemas.openxmlformats.org/officeDocument/2006/relationships/hyperlink" Target="https://www.newegg.com/Product/Product.aspx?Item=22-179-129&amp;Tpk=22-179-129" TargetMode="External"/><Relationship Id="rId54" Type="http://schemas.openxmlformats.org/officeDocument/2006/relationships/hyperlink" Target="https://www.newegg.com/Product/Product.aspx?item=N82E16822179007" TargetMode="External"/><Relationship Id="rId75" Type="http://schemas.openxmlformats.org/officeDocument/2006/relationships/hyperlink" Target="https://smile.amazon.com/Seagate-IronWolf-3-5-Inch-Internal-ST6000VN0041/dp/B01LZDFMWQ/ref=sr_1_cc_2?s=aps&amp;psr=PDAY&amp;ie=UTF8&amp;qid=1531855197&amp;sr=1-2-catcorr&amp;keywords=ironwolf" TargetMode="External"/><Relationship Id="rId96" Type="http://schemas.openxmlformats.org/officeDocument/2006/relationships/hyperlink" Target="https://www.seagate.com/www-content/product-content/hdd-fam/seagate-archive-hdd/en-us/docs/archive-hdd-dS1834-3-1411us.pdf" TargetMode="External"/><Relationship Id="rId140" Type="http://schemas.openxmlformats.org/officeDocument/2006/relationships/hyperlink" Target="https://www.newegg.com/Product/Product.aspx?Item=9SIA5EM5NM4192" TargetMode="External"/><Relationship Id="rId161" Type="http://schemas.openxmlformats.org/officeDocument/2006/relationships/hyperlink" Target="https://smile.amazon.com/Seagate-Drives-Barracuda-3-5-Inch-Internal/dp/B075WYBQXJ/ref=sr_1_2?s=prime-day&amp;psr=PDAY&amp;ie=UTF8&amp;qid=1531854865&amp;sr=1-2&amp;keywords=seagate+ironwolf&amp;smid=ATVPDKIKX0DER&amp;dpID=51eCqVfTTNL&amp;preST=_SY300_QL70_&amp;dpSrc=srch" TargetMode="External"/><Relationship Id="rId182" Type="http://schemas.openxmlformats.org/officeDocument/2006/relationships/hyperlink" Target="https://www.hgst.com/sites/default/files/resources/US7K4000_ds.pdf" TargetMode="External"/><Relationship Id="rId217" Type="http://schemas.openxmlformats.org/officeDocument/2006/relationships/hyperlink" Target="https://www.amazon.com/Toshiba-12TB-SATA-7200RPM-Enterprise/dp/B07DNVC4S6/ref=sr_1_1?s=electronics&amp;ie=UTF8&amp;qid=1535514188&amp;sr=1-1&amp;keywords=Toshiba+12TB&amp;dpID=41oncuOTj4L&amp;preST=_SY300_QL70_&amp;dpSrc=srch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233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38" Type="http://schemas.openxmlformats.org/officeDocument/2006/relationships/hyperlink" Target="http://www.toshiba.eu/Contents/Toshiba_teg/EU/Others/HDD_datasheets/X300_High-Performance_Hard_Drive_Datasheet.pdf" TargetMode="External"/><Relationship Id="rId254" Type="http://schemas.openxmlformats.org/officeDocument/2006/relationships/hyperlink" Target="https://www.newegg.com/Product/Product.aspx?Item=N82E16822149729&amp;ignorebbr=1" TargetMode="External"/><Relationship Id="rId259" Type="http://schemas.openxmlformats.org/officeDocument/2006/relationships/printerSettings" Target="../printerSettings/printerSettings1.bin"/><Relationship Id="rId23" Type="http://schemas.openxmlformats.org/officeDocument/2006/relationships/hyperlink" Target="http://hdd.userbenchmark.com/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114" Type="http://schemas.openxmlformats.org/officeDocument/2006/relationships/hyperlink" Target="https://smile.amazon.com/Seagate-BarraCuda-3-5-Inch-Internal-ST10000DM0004/dp/B01IA9H22Q/ref=sr_1_cc_9?s=aps&amp;psr=PDAY&amp;ie=UTF8&amp;qid=1531855197&amp;sr=1-9-catcorr&amp;keywords=ironwolf" TargetMode="External"/><Relationship Id="rId119" Type="http://schemas.openxmlformats.org/officeDocument/2006/relationships/hyperlink" Target="https://secure.neweggbusiness.com/new/shopping/shoppingcart.aspx" TargetMode="External"/><Relationship Id="rId44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0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5" Type="http://schemas.openxmlformats.org/officeDocument/2006/relationships/hyperlink" Target="https://www.newegg.com/Product/Product.aspx?item=N82E16822236600" TargetMode="External"/><Relationship Id="rId81" Type="http://schemas.openxmlformats.org/officeDocument/2006/relationships/hyperlink" Target="https://www.newegg.com/Product/Product.aspx?item=N82E16822146067" TargetMode="External"/><Relationship Id="rId86" Type="http://schemas.openxmlformats.org/officeDocument/2006/relationships/hyperlink" Target="https://www.newegg.com/Product/Product.aspx?item=9SIA7XW8AH4358" TargetMode="External"/><Relationship Id="rId130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35" Type="http://schemas.openxmlformats.org/officeDocument/2006/relationships/hyperlink" Target="https://toshiba.semicon-storage.com/us/product/storage-products/enterprise-hdd/al14sxbxxex.html" TargetMode="External"/><Relationship Id="rId151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56" Type="http://schemas.openxmlformats.org/officeDocument/2006/relationships/hyperlink" Target="https://www.hgst.com/sites/default/files/resources/US7K4000_ds.pdf" TargetMode="External"/><Relationship Id="rId177" Type="http://schemas.openxmlformats.org/officeDocument/2006/relationships/hyperlink" Target="https://www.newegg.com/Product/Product.aspx?item=1Z4-002P-00142" TargetMode="External"/><Relationship Id="rId198" Type="http://schemas.openxmlformats.org/officeDocument/2006/relationships/hyperlink" Target="https://www.newegg.com/Product/Product.aspx?Item=9SIAAEE6P41222&amp;cm_re=wd_pro_3tb-_-22-236-740-_-Product" TargetMode="External"/><Relationship Id="rId172" Type="http://schemas.openxmlformats.org/officeDocument/2006/relationships/hyperlink" Target="https://smile.amazon.com/Seagate-Firecuda-2-5-Inch-Internal-ST1000LX015/dp/B01LWRTRZU/ref=sr_1_cc_8?s=aps&amp;psr=PDAY&amp;ie=UTF8&amp;qid=1531855616&amp;sr=1-8-catcorr&amp;keywords=seagate" TargetMode="External"/><Relationship Id="rId193" Type="http://schemas.openxmlformats.org/officeDocument/2006/relationships/hyperlink" Target="http://www.sears.com/seagate-st900mp0146-900gb-2.5-sas-15k-rpm/p-SPM8883839723" TargetMode="External"/><Relationship Id="rId202" Type="http://schemas.openxmlformats.org/officeDocument/2006/relationships/hyperlink" Target="https://www.newegg.com/Product/Product.aspx?item=1Z4-002P-00148" TargetMode="External"/><Relationship Id="rId207" Type="http://schemas.openxmlformats.org/officeDocument/2006/relationships/hyperlink" Target="https://www.cdw.com/product/Seagate-Enterprise-Capacity-3.5-HDD-ST8000NM0055-hard-drive-8-TB-SATA/3851249?pfm=srh" TargetMode="External"/><Relationship Id="rId223" Type="http://schemas.openxmlformats.org/officeDocument/2006/relationships/hyperlink" Target="https://www.seagate.com/www-content/product-content/barracuda-fam/barracuda-new/en-us/docs/100835983a.pdf" TargetMode="External"/><Relationship Id="rId228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44" Type="http://schemas.openxmlformats.org/officeDocument/2006/relationships/hyperlink" Target="https://www.newegg.com/Product/Product.aspx?item=1B0-0020-000P4" TargetMode="External"/><Relationship Id="rId249" Type="http://schemas.openxmlformats.org/officeDocument/2006/relationships/hyperlink" Target="http://www.hgst.com/sites/default/files/resources/HGST-Helium-Technology-BR03.pdf" TargetMode="External"/><Relationship Id="rId13" Type="http://schemas.openxmlformats.org/officeDocument/2006/relationships/hyperlink" Target="https://www.seagate.com/files/www-content/datasheets/pdfs/exos-x-12-DS1946-1-1709US-en_US.pdf" TargetMode="External"/><Relationship Id="rId18" Type="http://schemas.openxmlformats.org/officeDocument/2006/relationships/hyperlink" Target="http://products.wdc.com/library/SpecSheet/ENG/2879-800045.pdf" TargetMode="External"/><Relationship Id="rId39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09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260" Type="http://schemas.openxmlformats.org/officeDocument/2006/relationships/drawing" Target="../drawings/drawing1.xml"/><Relationship Id="rId34" Type="http://schemas.openxmlformats.org/officeDocument/2006/relationships/hyperlink" Target="https://www.toshiba.eu/Contents/Toshiba_teg/EU/Others/HDD_datasheets/P300_High-Performance_Hard_Drive_Datasheet.pdf" TargetMode="External"/><Relationship Id="rId50" Type="http://schemas.openxmlformats.org/officeDocument/2006/relationships/hyperlink" Target="https://www.newegg.com/Product/Product.aspx?Item=N82E16822145875" TargetMode="External"/><Relationship Id="rId55" Type="http://schemas.openxmlformats.org/officeDocument/2006/relationships/hyperlink" Target="http://www.tomsitpro.com/articles/hgst-ultrastar-c15k600-hdd,2-906-3.html" TargetMode="External"/><Relationship Id="rId76" Type="http://schemas.openxmlformats.org/officeDocument/2006/relationships/hyperlink" Target="https://flash.newegg.com/Product/22-179-005?utm_source=NFEmail071918&amp;utm_medium=index&amp;utm_campaign=SaleBanner_B3B_22-179-005&amp;cm_mmc=EMC-NFEmail071918-_-SaleBanner_B3B_22-179-005-_-NA-_-22-179-005" TargetMode="External"/><Relationship Id="rId97" Type="http://schemas.openxmlformats.org/officeDocument/2006/relationships/hyperlink" Target="https://www.seagate.com/www-content/product-content/hdd-fam/seagate-archive-hdd/en-us/docs/archive-hdd-dS1834-3-1411us.pdf" TargetMode="External"/><Relationship Id="rId104" Type="http://schemas.openxmlformats.org/officeDocument/2006/relationships/hyperlink" Target="https://www.hgst.com/products/hard-drives/ultrastar-7k6000" TargetMode="External"/><Relationship Id="rId120" Type="http://schemas.openxmlformats.org/officeDocument/2006/relationships/hyperlink" Target="https://smile.amazon.com/Seagate-FireCuda-Gaming-Solid-Hybrid/dp/B01IEKG2HM/ref=sr_1_3?s=prime-day&amp;psr=PDAY&amp;ie=UTF8&amp;qid=1531854865&amp;sr=1-3&amp;keywords=seagate+ironwolf&amp;smid=ATVPDKIKX0DER&amp;dpID=51Q5JsfaKQL&amp;preST=_SY300_QL70_&amp;dpSrc=srch" TargetMode="External"/><Relationship Id="rId125" Type="http://schemas.openxmlformats.org/officeDocument/2006/relationships/hyperlink" Target="https://www.newegg.com/Product/Product.aspx?item=1Z4-002P-00139" TargetMode="External"/><Relationship Id="rId141" Type="http://schemas.openxmlformats.org/officeDocument/2006/relationships/hyperlink" Target="https://www.newegg.com/Product/Product.aspx?Item=N82E16822178994&amp;ignorebbr=1" TargetMode="External"/><Relationship Id="rId146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67" Type="http://schemas.openxmlformats.org/officeDocument/2006/relationships/hyperlink" Target="https://www.newegg.com/Product/Product.aspx?item=N82E16822236496" TargetMode="External"/><Relationship Id="rId188" Type="http://schemas.openxmlformats.org/officeDocument/2006/relationships/hyperlink" Target="https://www.hgst.com/sites/default/files/resources/Ultrastar-He8-DS.pdf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179102" TargetMode="External"/><Relationship Id="rId92" Type="http://schemas.openxmlformats.org/officeDocument/2006/relationships/hyperlink" Target="https://www.newegg.com/Product/Product.aspx?item=N82E16822178750" TargetMode="External"/><Relationship Id="rId162" Type="http://schemas.openxmlformats.org/officeDocument/2006/relationships/hyperlink" Target="https://www.newegg.com/Product/Product.aspx?Item=N82E16822179104" TargetMode="External"/><Relationship Id="rId183" Type="http://schemas.openxmlformats.org/officeDocument/2006/relationships/hyperlink" Target="https://www.hgst.com/sites/default/files/resources/US7K4000_ds.pdf" TargetMode="External"/><Relationship Id="rId213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218" Type="http://schemas.openxmlformats.org/officeDocument/2006/relationships/hyperlink" Target="https://www.newegg.com/Product/Product.aspx?Item=9SIA5EM5NM4142" TargetMode="External"/><Relationship Id="rId234" Type="http://schemas.openxmlformats.org/officeDocument/2006/relationships/hyperlink" Target="https://www.newegg.com/Product/Product.aspx?Item=9SIA6ZP8BB1200&amp;Description=exos&amp;cm_re=exos-_-1Z4-0077-000A3-_-Product" TargetMode="External"/><Relationship Id="rId239" Type="http://schemas.openxmlformats.org/officeDocument/2006/relationships/hyperlink" Target="https://www.newegg.com/Product/Product.aspx?item=N82E16822234361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products/hard-drives/ultrastar-he12" TargetMode="External"/><Relationship Id="rId250" Type="http://schemas.openxmlformats.org/officeDocument/2006/relationships/hyperlink" Target="http://www.hgst.com/sites/default/files/resources/HGST-Helium-Technology-BR03.pdf" TargetMode="External"/><Relationship Id="rId255" Type="http://schemas.openxmlformats.org/officeDocument/2006/relationships/hyperlink" Target="https://www.toshiba-storage.com/products/n300/?pdf" TargetMode="External"/><Relationship Id="rId24" Type="http://schemas.openxmlformats.org/officeDocument/2006/relationships/hyperlink" Target="http://www.hgst.com/sites/default/files/resources/HGST-Helium-Technology-BR03.pdf" TargetMode="External"/><Relationship Id="rId40" Type="http://schemas.openxmlformats.org/officeDocument/2006/relationships/hyperlink" Target="https://toshiba.semicon-storage.com/us/product/storage-products/enterprise-hdd/al14sxbxxex.html" TargetMode="External"/><Relationship Id="rId45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66" Type="http://schemas.openxmlformats.org/officeDocument/2006/relationships/hyperlink" Target="https://www.newegg.com/Product/Product.aspx?item=N82E16822236601" TargetMode="External"/><Relationship Id="rId87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10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15" Type="http://schemas.openxmlformats.org/officeDocument/2006/relationships/hyperlink" Target="https://www.newegg.com/Product/Product.aspx?Item=22-172-024&amp;Tpk=22-172-024" TargetMode="External"/><Relationship Id="rId131" Type="http://schemas.openxmlformats.org/officeDocument/2006/relationships/hyperlink" Target="https://www.newegg.com/Product/Product.aspx?item=N82E16822149382" TargetMode="External"/><Relationship Id="rId136" Type="http://schemas.openxmlformats.org/officeDocument/2006/relationships/hyperlink" Target="https://toshiba.semicon-storage.com/us/product/storage-products/enterprise-hdd/mg06acaxxxx.html" TargetMode="External"/><Relationship Id="rId157" Type="http://schemas.openxmlformats.org/officeDocument/2006/relationships/hyperlink" Target="https://smile.amazon.com/HGST-Ultrastar-3-5-Inch-Enterprise-0F14683/dp/B007VL8WU6/ref=sr_1_8?s=prime-day&amp;ie=UTF8&amp;qid=1531855963&amp;sr=8-8&amp;keywords=hgst+deskstar" TargetMode="External"/><Relationship Id="rId178" Type="http://schemas.openxmlformats.org/officeDocument/2006/relationships/hyperlink" Target="https://www.seagate.com/files/www-content/datasheets/pdfs/exos-10e2400DS1959-1-1709US-en_US.pdf" TargetMode="External"/><Relationship Id="rId61" Type="http://schemas.openxmlformats.org/officeDocument/2006/relationships/hyperlink" Target="https://www.newegg.com/Product/Product.aspx?Item=N82E16822235281&amp;ignorebbr=1" TargetMode="External"/><Relationship Id="rId82" Type="http://schemas.openxmlformats.org/officeDocument/2006/relationships/hyperlink" Target="https://www.newegg.com/Product/Product.aspx?Item=9SIA25V4XG7457&amp;cm_re=Ultrastar_7K6000_5tb-_-9SIA25V4XG7457-_-Product" TargetMode="External"/><Relationship Id="rId152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73" Type="http://schemas.openxmlformats.org/officeDocument/2006/relationships/hyperlink" Target="https://www.newegg.com/Product/Product.aspx?Item=N82E16822179106" TargetMode="External"/><Relationship Id="rId194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99" Type="http://schemas.openxmlformats.org/officeDocument/2006/relationships/hyperlink" Target="https://www.newegg.com/Product/Product.aspx?Item=9SIA67S3GU1457&amp;cm_re=WD_red_nas_5tb-_-22-236-738-_-Product" TargetMode="External"/><Relationship Id="rId203" Type="http://schemas.openxmlformats.org/officeDocument/2006/relationships/hyperlink" Target="https://www.newegg.com/Product/Product.aspx?item=9SIA2F86R49684" TargetMode="External"/><Relationship Id="rId208" Type="http://schemas.openxmlformats.org/officeDocument/2006/relationships/hyperlink" Target="https://www.newegg.com/Product/Product.aspx?Item=1Z4-000B-001U4&amp;cm_re=2.5%22_toshiba-_-1Z4-000B-001U4-_-Product" TargetMode="External"/><Relationship Id="rId229" Type="http://schemas.openxmlformats.org/officeDocument/2006/relationships/hyperlink" Target="https://toshiba.semicon-storage.com/content/dam/toshiba-ss/asia-pacific/docs/product/storage/product-manual/eHDD-MN-Product-Manual.pdf.pdf" TargetMode="External"/><Relationship Id="rId19" Type="http://schemas.openxmlformats.org/officeDocument/2006/relationships/hyperlink" Target="https://www.seagate.com/internal-hard-drives/hdd/ironwolf/" TargetMode="External"/><Relationship Id="rId224" Type="http://schemas.openxmlformats.org/officeDocument/2006/relationships/hyperlink" Target="https://www.seagate.com/www-content/product-content/barracuda-fam/barracuda-new/en-us/docs/100835983a.pdf" TargetMode="External"/><Relationship Id="rId240" Type="http://schemas.openxmlformats.org/officeDocument/2006/relationships/hyperlink" Target="https://www.newegg.com/Product/Product.aspx?item=1Z4-0002-003M7" TargetMode="External"/><Relationship Id="rId245" Type="http://schemas.openxmlformats.org/officeDocument/2006/relationships/hyperlink" Target="https://www.newegg.com/Product/Product.aspx?item=1B0-0020-000P2" TargetMode="External"/><Relationship Id="rId261" Type="http://schemas.openxmlformats.org/officeDocument/2006/relationships/vmlDrawing" Target="../drawings/vmlDrawing1.vml"/><Relationship Id="rId14" Type="http://schemas.openxmlformats.org/officeDocument/2006/relationships/hyperlink" Target="https://www.seagate.com/enterprise-storage/exos-drives/exos-e-drives/" TargetMode="External"/><Relationship Id="rId30" Type="http://schemas.openxmlformats.org/officeDocument/2006/relationships/hyperlink" Target="http://www.hgst.com/products/hard-drives/ultrastar-he10" TargetMode="External"/><Relationship Id="rId35" Type="http://schemas.openxmlformats.org/officeDocument/2006/relationships/hyperlink" Target="http://products.wdc.com/library/SpecSheet/ENG/2879-771434.pdf" TargetMode="External"/><Relationship Id="rId56" Type="http://schemas.openxmlformats.org/officeDocument/2006/relationships/hyperlink" Target="http://www.tomsitpro.com/articles/wd-hgst-8tb-hdd-gold,1-3248.html" TargetMode="External"/><Relationship Id="rId77" Type="http://schemas.openxmlformats.org/officeDocument/2006/relationships/hyperlink" Target="https://smile.amazon.com/Seagate-IronWolf-Cache-3-5-Inch-Internal/dp/B01LOOJBRI/ref=sr_1_1?s=prime-day&amp;psr=PDAY&amp;ie=UTF8&amp;qid=1531854865&amp;sr=1-1&amp;keywords=seagate+ironwolf&amp;smid=ATVPDKIKX0DER&amp;dpID=511zrEsez3L&amp;preST=_SY300_QL70_&amp;dpSrc=srch" TargetMode="External"/><Relationship Id="rId100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05" Type="http://schemas.openxmlformats.org/officeDocument/2006/relationships/hyperlink" Target="https://www.hgst.com/sites/default/files/resources/Ultrastar-7K2-EN-US-DS.pdf" TargetMode="External"/><Relationship Id="rId126" Type="http://schemas.openxmlformats.org/officeDocument/2006/relationships/hyperlink" Target="https://www.newegg.com/Product/Product.aspx?item=1Z4-002P-000N0" TargetMode="External"/><Relationship Id="rId147" Type="http://schemas.openxmlformats.org/officeDocument/2006/relationships/hyperlink" Target="https://www.newegg.com/Product/Product.aspx?Item=22-149-631&amp;Tpk=22-149-631" TargetMode="External"/><Relationship Id="rId168" Type="http://schemas.openxmlformats.org/officeDocument/2006/relationships/hyperlink" Target="https://www.newegg.com/Product/Product.aspx?item=1B0-0020-000G1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9SIA99462P4004" TargetMode="External"/><Relationship Id="rId72" Type="http://schemas.openxmlformats.org/officeDocument/2006/relationships/hyperlink" Target="https://www.newegg.com/Product/Product.aspx?item=N82E16822178997" TargetMode="External"/><Relationship Id="rId93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98" Type="http://schemas.openxmlformats.org/officeDocument/2006/relationships/hyperlink" Target="http://www.hgst.com/sites/default/files/resources/UltrastarHs14-SATA-OEMSpec-R1.0.pdf" TargetMode="External"/><Relationship Id="rId121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42" Type="http://schemas.openxmlformats.org/officeDocument/2006/relationships/hyperlink" Target="https://www.newegg.com/Product/Product.aspx?Item=1Z4-002P-000N0&amp;ignorebbr=1" TargetMode="External"/><Relationship Id="rId163" Type="http://schemas.openxmlformats.org/officeDocument/2006/relationships/hyperlink" Target="https://www.newegg.com/Product/Product.aspx?Item=N82E16822145584" TargetMode="External"/><Relationship Id="rId184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189" Type="http://schemas.openxmlformats.org/officeDocument/2006/relationships/hyperlink" Target="https://www.newegg.com/Product/ComboBundleDetails.aspx?ItemList=Combo.3836695&amp;utm_medium=Email&amp;utm_source=IGNEFL062918&amp;cm_mmc=EMC-IGNEFL062918-_-EMC-062918-Index-_-Combo-_-Blitz-Combo3836695-S0&amp;ignorebbr=1" TargetMode="External"/><Relationship Id="rId219" Type="http://schemas.openxmlformats.org/officeDocument/2006/relationships/hyperlink" Target="https://www.amazon.com/Toshiba-14TB-SATA-7200RPM-Enterprise/dp/B07DHY61JP" TargetMode="Externa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s://toshiba.semicon-storage.com/content/dam/toshiba-ss/asia-pacific/docs/product/storage/product-manual/Specialty-MQ03ABBxxx-Product-Overview.pdf" TargetMode="External"/><Relationship Id="rId230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35" Type="http://schemas.openxmlformats.org/officeDocument/2006/relationships/hyperlink" Target="http://www.toshiba.eu/Contents/Toshiba_teg/EU/Others/HDD_datasheets/X300_High-Performance_Hard_Drive_Datasheet.pdf" TargetMode="External"/><Relationship Id="rId251" Type="http://schemas.openxmlformats.org/officeDocument/2006/relationships/hyperlink" Target="https://www.westerndigital.com/products/data-center-drives/ultrastar-dc-hc500-series-hdd" TargetMode="External"/><Relationship Id="rId256" Type="http://schemas.openxmlformats.org/officeDocument/2006/relationships/hyperlink" Target="https://www.newegg.com/Product/Product.aspx?Item=N82E16822149729&amp;ignorebbr=1" TargetMode="External"/><Relationship Id="rId25" Type="http://schemas.openxmlformats.org/officeDocument/2006/relationships/hyperlink" Target="http://www.hgst.com/sites/default/files/resources/HGST-Helium-Technology-BR03.pdf" TargetMode="External"/><Relationship Id="rId46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67" Type="http://schemas.openxmlformats.org/officeDocument/2006/relationships/hyperlink" Target="https://www.newegg.com/Product/Product.aspx?Item=22-179-103&amp;utm_medium=Email&amp;utm_source=GD072518&amp;cm_mmc=EMC-GD072518-_-landing-_-Item-_-22-179-103" TargetMode="External"/><Relationship Id="rId116" Type="http://schemas.openxmlformats.org/officeDocument/2006/relationships/hyperlink" Target="https://www.seagate.com/www-content/product-content/barracuda-fam/barracuda-new/en-us/docs/100811076e.pdf" TargetMode="External"/><Relationship Id="rId137" Type="http://schemas.openxmlformats.org/officeDocument/2006/relationships/hyperlink" Target="https://toshiba.semicon-storage.com/us/product/storage-products/enterprise-hdd/mg07acaxxx.html" TargetMode="External"/><Relationship Id="rId158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20" Type="http://schemas.openxmlformats.org/officeDocument/2006/relationships/hyperlink" Target="https://www.seagate.com/internal-hard-drives/hdd/ironwolf/" TargetMode="External"/><Relationship Id="rId41" Type="http://schemas.openxmlformats.org/officeDocument/2006/relationships/hyperlink" Target="https://www.seagate.com/internal-hard-drives/hdd/ironwolf/?sku=ST10000NE0004" TargetMode="External"/><Relationship Id="rId62" Type="http://schemas.openxmlformats.org/officeDocument/2006/relationships/hyperlink" Target="https://www.newegg.com/Product/Product.aspx?item=N82E16822236624" TargetMode="External"/><Relationship Id="rId83" Type="http://schemas.openxmlformats.org/officeDocument/2006/relationships/hyperlink" Target="https://www.newegg.com/Product/Product.aspx?item=9SIA1K656B4129" TargetMode="External"/><Relationship Id="rId88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11" Type="http://schemas.openxmlformats.org/officeDocument/2006/relationships/hyperlink" Target="https://www.amazon.com/HGST-Ultrastar-HUH721212ALE600-SATA-6Gb-256MB/dp/B079RMMPQL/ref=sr_1_1?ie=UTF8&amp;qid=1546068976&amp;sr=8-1&amp;keywords=ultrastar+he12" TargetMode="External"/><Relationship Id="rId132" Type="http://schemas.openxmlformats.org/officeDocument/2006/relationships/hyperlink" Target="https://www.newegg.com/Product/Product.aspx?item=N82E16822149408" TargetMode="External"/><Relationship Id="rId153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74" Type="http://schemas.openxmlformats.org/officeDocument/2006/relationships/hyperlink" Target="https://www.newegg.com/Product/Product.aspx?Item=9SIA5AD6KR4743" TargetMode="External"/><Relationship Id="rId179" Type="http://schemas.openxmlformats.org/officeDocument/2006/relationships/hyperlink" Target="https://www.newegg.com/Product/Product.aspx?Item=9SIAAEE6NW9609" TargetMode="External"/><Relationship Id="rId195" Type="http://schemas.openxmlformats.org/officeDocument/2006/relationships/hyperlink" Target="https://www.newegg.com/Product/Product.aspx?Item=9SIA6CC6KC0450" TargetMode="External"/><Relationship Id="rId209" Type="http://schemas.openxmlformats.org/officeDocument/2006/relationships/hyperlink" Target="https://www.toshiba-storage.com/products/n300/?pdf" TargetMode="External"/><Relationship Id="rId190" Type="http://schemas.openxmlformats.org/officeDocument/2006/relationships/hyperlink" Target="https://www.newegg.com/Product/Product.aspx?item=N82E16822235064" TargetMode="External"/><Relationship Id="rId204" Type="http://schemas.openxmlformats.org/officeDocument/2006/relationships/hyperlink" Target="https://www.newegg.com/Product/Product.aspx?Item=9SIA24G1S88436&amp;cm_re=terascale-_-22-178-401-_-Product" TargetMode="External"/><Relationship Id="rId220" Type="http://schemas.openxmlformats.org/officeDocument/2006/relationships/hyperlink" Target="https://www.seagate.com/www-content/product-content/sshd-fam/desktop-sshd/en-us/docs/100804185a.pdf" TargetMode="External"/><Relationship Id="rId225" Type="http://schemas.openxmlformats.org/officeDocument/2006/relationships/hyperlink" Target="https://www.newegg.com/Product/Product.aspx?Item=9SIAG9894V9945&amp;Description=exos&amp;cm_re=exos-_-9SIAG9894V9945-_-Product" TargetMode="External"/><Relationship Id="rId241" Type="http://schemas.openxmlformats.org/officeDocument/2006/relationships/hyperlink" Target="https://www.newegg.com/Product/Product.aspx?item=9SIA9948WN6331" TargetMode="External"/><Relationship Id="rId246" Type="http://schemas.openxmlformats.org/officeDocument/2006/relationships/hyperlink" Target="https://www.newegg.com/Product/Product.aspx?item=N82E16822234360" TargetMode="External"/><Relationship Id="rId15" Type="http://schemas.openxmlformats.org/officeDocument/2006/relationships/hyperlink" Target="https://www.wdc.com/content/dam/wdc/website/downloadable_assets/eng/spec_data_sheet/2879-800074.pdf" TargetMode="External"/><Relationship Id="rId36" Type="http://schemas.openxmlformats.org/officeDocument/2006/relationships/hyperlink" Target="https://www.wdc.com/content/dam/wdc/website/downloadable_assets/eng/spec_data_sheet/2879-800002.pdf" TargetMode="External"/><Relationship Id="rId57" Type="http://schemas.openxmlformats.org/officeDocument/2006/relationships/hyperlink" Target="http://www.tomsitpro.com/articles/wd-hgst-8tb-hdd-gold,1-3248.html" TargetMode="External"/><Relationship Id="rId106" Type="http://schemas.openxmlformats.org/officeDocument/2006/relationships/hyperlink" Target="https://www.amazon.com/HGST-Ultrastar-HUH728080AL5200-Platform-Enterprise/dp/B00UOGW4AO/ref=sr_1_18?ie=UTF8&amp;qid=1546069561&amp;sr=8-18&amp;keywords=ultrastar+he8" TargetMode="External"/><Relationship Id="rId127" Type="http://schemas.openxmlformats.org/officeDocument/2006/relationships/hyperlink" Target="https://www.newegg.com/Product/Product.aspx?item=1Z4-002P-00141" TargetMode="External"/><Relationship Id="rId262" Type="http://schemas.openxmlformats.org/officeDocument/2006/relationships/table" Target="../tables/table1.xml"/><Relationship Id="rId10" Type="http://schemas.openxmlformats.org/officeDocument/2006/relationships/hyperlink" Target="https://www.seagate.com/files/www-content/datasheets/pdfs/ex-os-15-e-900-DS1958-1-1709US-en_US.pdf" TargetMode="External"/><Relationship Id="rId31" Type="http://schemas.openxmlformats.org/officeDocument/2006/relationships/hyperlink" Target="https://www.hgst.com/sites/default/files/resources/T5K100_sp.pdf" TargetMode="External"/><Relationship Id="rId52" Type="http://schemas.openxmlformats.org/officeDocument/2006/relationships/hyperlink" Target="https://www.newegg.com/Product/Product.aspx?Item=9SIA99460Z1529" TargetMode="External"/><Relationship Id="rId73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78" Type="http://schemas.openxmlformats.org/officeDocument/2006/relationships/hyperlink" Target="https://www.newegg.com/Product/Product.aspx?item=N82E16822179008" TargetMode="External"/><Relationship Id="rId94" Type="http://schemas.openxmlformats.org/officeDocument/2006/relationships/hyperlink" Target="https://www.newegg.com/Product/Product.aspx?item=9SIA4A04NB8762" TargetMode="External"/><Relationship Id="rId99" Type="http://schemas.openxmlformats.org/officeDocument/2006/relationships/hyperlink" Target="https://www.newegg.com/Product/Product.aspx?Item=N82E16822146148&amp;ignorebbr=1" TargetMode="External"/><Relationship Id="rId101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2" Type="http://schemas.openxmlformats.org/officeDocument/2006/relationships/hyperlink" Target="https://www.newegg.com/Product/ComboBundleDetails.aspx?ItemList=Combo.3842359&amp;utm_medium=Email&amp;utm_source=IGNEFL071218&amp;cm_mmc=EMC-IGNEFL071218-_-EMC-071218-Index-_-Combo-_-Combo3842359-S1A1A&amp;ignorebbr=1" TargetMode="External"/><Relationship Id="rId143" Type="http://schemas.openxmlformats.org/officeDocument/2006/relationships/hyperlink" Target="https://www.amazon.com/Seagate-256MB-Cache-Enterprise-ST12000NM0007/dp/B0759Q9FXZ/ref=sr_1_3?ie=UTF8&amp;qid=1546068976&amp;sr=8-3&amp;keywords=ultrastar+he12" TargetMode="External"/><Relationship Id="rId148" Type="http://schemas.openxmlformats.org/officeDocument/2006/relationships/hyperlink" Target="https://www.newegg.com/Product/Product.aspx?Item=22-149-632&amp;Tpk=22-149-632" TargetMode="External"/><Relationship Id="rId164" Type="http://schemas.openxmlformats.org/officeDocument/2006/relationships/hyperlink" Target="https://www.newegg.com/Product/Product.aspx?Item=9SIA99460Z2669" TargetMode="External"/><Relationship Id="rId169" Type="http://schemas.openxmlformats.org/officeDocument/2006/relationships/hyperlink" Target="https://www.newegg.com/Product/Product.aspx?Item=N82E16822179108" TargetMode="External"/><Relationship Id="rId185" Type="http://schemas.openxmlformats.org/officeDocument/2006/relationships/hyperlink" Target="https://www.newegg.com/Product/Product.aspx?Item=9SIA5EM6HG5028&amp;cm_re=segate_2.5%22_disk_drive-_-1B4-00VK-00017-_-Product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files/www-content/datasheets/pdfs/exos-7-e8-data-sheet-DS1957-1-1709US-en_US.pdf" TargetMode="External"/><Relationship Id="rId180" Type="http://schemas.openxmlformats.org/officeDocument/2006/relationships/hyperlink" Target="https://www.newegg.com/Product/Product.aspx?Item=N82E16822149667&amp;cm_re=2.5%22_toshiba-_-22-149-667-_-Product" TargetMode="External"/><Relationship Id="rId210" Type="http://schemas.openxmlformats.org/officeDocument/2006/relationships/hyperlink" Target="http://storage.toshiba.com/consumer-hdd/internal/l200" TargetMode="External"/><Relationship Id="rId215" Type="http://schemas.openxmlformats.org/officeDocument/2006/relationships/hyperlink" Target="https://www.newegg.com/Product/Product.aspx?Item=9SIA0ZX7U05105&amp;cm_re=toshiba_l200-_-22-149-727-_-Product" TargetMode="External"/><Relationship Id="rId236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257" Type="http://schemas.openxmlformats.org/officeDocument/2006/relationships/hyperlink" Target="https://toshiba.semicon-storage.com/content/dam/toshiba-ss/asia-pacific/docs/product/storage/product-manual/eHDD-MG08-Product-Overview.pdf" TargetMode="External"/><Relationship Id="rId26" Type="http://schemas.openxmlformats.org/officeDocument/2006/relationships/hyperlink" Target="http://www.hgst.com/sites/default/files/resources/HGST-Helium-Technology-BR03.pdf" TargetMode="External"/><Relationship Id="rId231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52" Type="http://schemas.openxmlformats.org/officeDocument/2006/relationships/hyperlink" Target="https://www.ebay.com/p/HGST-Ultrastar-DC-HC620-14TB-Internal-7200-RPM-3-5-inch-HSH721414ALN6M0-Hard-Drive/17029957131" TargetMode="External"/><Relationship Id="rId47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68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89" Type="http://schemas.openxmlformats.org/officeDocument/2006/relationships/hyperlink" Target="https://www.newegg.com/Product/ComboBundleDetails.aspx?ItemList=Combo.3844518&amp;utm_medium=Email&amp;utm_source=GD072518&amp;cm_mmc=EMC-GD072518-_-landing-_-Item-_-1Z4-0002-002U9" TargetMode="External"/><Relationship Id="rId112" Type="http://schemas.openxmlformats.org/officeDocument/2006/relationships/hyperlink" Target="https://smile.amazon.com/Seagate-BarraCuda-256MB-3-5-Inch-Internal/dp/B01LOOJBH8/ref=sr_1_6?s=prime-day&amp;psr=PDAY&amp;ie=UTF8&amp;qid=1531855616&amp;sr=1-6&amp;keywords=seagate&amp;smid=ATVPDKIKX0DER" TargetMode="External"/><Relationship Id="rId13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54" Type="http://schemas.openxmlformats.org/officeDocument/2006/relationships/hyperlink" Target="https://www.newegg.com/Product/Product.aspx?Item=1Z4-0002-002R5&amp;cm_re=wd_red_nas_2.5-_-1Z4-0002-002R5-_-Product" TargetMode="External"/><Relationship Id="rId175" Type="http://schemas.openxmlformats.org/officeDocument/2006/relationships/hyperlink" Target="https://www.newegg.com/Product/Product.aspx?Item=9SIAAEE6CZ1509" TargetMode="External"/><Relationship Id="rId196" Type="http://schemas.openxmlformats.org/officeDocument/2006/relationships/hyperlink" Target="https://www.newegg.com/Product/Product.aspx?Item=9SIA5EM5NM4360" TargetMode="External"/><Relationship Id="rId200" Type="http://schemas.openxmlformats.org/officeDocument/2006/relationships/hyperlink" Target="https://www.newegg.com/Product/Product.aspx?Item=N82E16822149644" TargetMode="External"/><Relationship Id="rId16" Type="http://schemas.openxmlformats.org/officeDocument/2006/relationships/hyperlink" Target="https://www.wdc.com/content/dam/wdc/website/downloadable_assets/eng/spec_data_sheet/2879-800002.pdf" TargetMode="External"/><Relationship Id="rId221" Type="http://schemas.openxmlformats.org/officeDocument/2006/relationships/hyperlink" Target="https://www.seagate.com/www-content/product-content/sshd-fam/desktop-sshd/en-us/docs/100804185a.pdf" TargetMode="External"/><Relationship Id="rId242" Type="http://schemas.openxmlformats.org/officeDocument/2006/relationships/hyperlink" Target="https://www.newegg.com/Product/Product.aspx?item=N82E16822234362" TargetMode="External"/><Relationship Id="rId263" Type="http://schemas.openxmlformats.org/officeDocument/2006/relationships/comments" Target="../comments1.xml"/><Relationship Id="rId37" Type="http://schemas.openxmlformats.org/officeDocument/2006/relationships/hyperlink" Target="https://toshiba.semicon-storage.com/us/product/storage-products/enterprise-hdd/mg06acaxxxx.html" TargetMode="External"/><Relationship Id="rId58" Type="http://schemas.openxmlformats.org/officeDocument/2006/relationships/hyperlink" Target="https://www.hgst.com/sites/default/files/resources/UltrastarHa10-SAS-OEMSpec-r2.1.pdf" TargetMode="External"/><Relationship Id="rId79" Type="http://schemas.openxmlformats.org/officeDocument/2006/relationships/hyperlink" Target="https://www.newegg.com/Product/Product.aspx?item=N82E16822146076" TargetMode="External"/><Relationship Id="rId102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23" Type="http://schemas.openxmlformats.org/officeDocument/2006/relationships/hyperlink" Target="https://www.newegg.com/Product/Product.aspx?Item=N82E16822235011&amp;ignorebbr=1" TargetMode="External"/><Relationship Id="rId144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90" Type="http://schemas.openxmlformats.org/officeDocument/2006/relationships/hyperlink" Target="https://smile.amazon.com/Seagate-BarraCuda-Cache-Desktop-ST2000DM006/dp/B01IEKG402/ref=sr_1_cc_2?s=aps&amp;psr=PDAY&amp;ie=UTF8&amp;qid=1531855616&amp;sr=1-2-catcorr&amp;keywords=seagate" TargetMode="External"/><Relationship Id="rId165" Type="http://schemas.openxmlformats.org/officeDocument/2006/relationships/hyperlink" Target="https://www.newegg.com/Product/Product.aspx?Item=9SIA99462P4004" TargetMode="External"/><Relationship Id="rId186" Type="http://schemas.openxmlformats.org/officeDocument/2006/relationships/hyperlink" Target="https://www.newegg.com/Product/Product.aspx?Item=9SIA6ZP6P20888&amp;cm_re=segate_2.5%22_disk_drive-_-1Z4-002P-008Z8-_-Product" TargetMode="External"/><Relationship Id="rId211" Type="http://schemas.openxmlformats.org/officeDocument/2006/relationships/hyperlink" Target="http://www.toshiba.eu/Contents/Toshiba_teg/EU/Others/HDD_datasheets/X300_High-Performance_Hard_Drive_Datasheet.pdf" TargetMode="External"/><Relationship Id="rId232" Type="http://schemas.openxmlformats.org/officeDocument/2006/relationships/hyperlink" Target="https://toshiba.semicon-storage.com/content/dam/toshiba-ss/asia-pacific/docs/product/storage/product-manual/eHDD-MN-Product-Manual.pdf.pdf" TargetMode="External"/><Relationship Id="rId253" Type="http://schemas.openxmlformats.org/officeDocument/2006/relationships/hyperlink" Target="https://www.toshiba-storage.com/products/n300/?pdf" TargetMode="External"/><Relationship Id="rId27" Type="http://schemas.openxmlformats.org/officeDocument/2006/relationships/hyperlink" Target="http://www.hgst.com/sites/default/files/resources/HGST-Helium-Technology-BR03.pdf" TargetMode="External"/><Relationship Id="rId48" Type="http://schemas.openxmlformats.org/officeDocument/2006/relationships/hyperlink" Target="https://www.newegg.com/Product/Product.aspx?item=N82E16822149696" TargetMode="External"/><Relationship Id="rId69" Type="http://schemas.openxmlformats.org/officeDocument/2006/relationships/hyperlink" Target="https://smile.amazon.com/Seagate-IronWolf-7200RPM-256MB-3-5-Inch/dp/B07BDVBP1H/ref=sr_1_9?s=prime-day&amp;psr=PDAY&amp;ie=UTF8&amp;qid=1531855616&amp;sr=1-9&amp;keywords=seagate&amp;smid=ATVPDKIKX0DER" TargetMode="External"/><Relationship Id="rId113" Type="http://schemas.openxmlformats.org/officeDocument/2006/relationships/hyperlink" Target="https://www.newegg.com/Product/Product.aspx?Item=22-179-270&amp;Tpk=22-179-270" TargetMode="External"/><Relationship Id="rId134" Type="http://schemas.openxmlformats.org/officeDocument/2006/relationships/hyperlink" Target="https://toshiba.semicon-storage.com/us/product/storage-products/enterprise-hdd/al14sebxxex.html" TargetMode="External"/><Relationship Id="rId80" Type="http://schemas.openxmlformats.org/officeDocument/2006/relationships/hyperlink" Target="https://www.newegg.com/Product/Product.aspx?item=N82E16822146071" TargetMode="External"/><Relationship Id="rId155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76" Type="http://schemas.openxmlformats.org/officeDocument/2006/relationships/hyperlink" Target="https://www.newegg.com/Product/Product.aspx?Item=9SIA5AD6KR4743" TargetMode="External"/><Relationship Id="rId197" Type="http://schemas.openxmlformats.org/officeDocument/2006/relationships/hyperlink" Target="https://www.newegg.com/Product/Product.aspx?Item=9SIA67S3GU1425&amp;cm_re=WD_blue_6tb-_-22-235-009-_-Product" TargetMode="External"/><Relationship Id="rId201" Type="http://schemas.openxmlformats.org/officeDocument/2006/relationships/hyperlink" Target="https://www.seagate.com/files/www-content/datasheets/pdfs/exos-7-e8-data-sheet-DS1957-1-1709US-en_US.pdf" TargetMode="External"/><Relationship Id="rId222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243" Type="http://schemas.openxmlformats.org/officeDocument/2006/relationships/hyperlink" Target="https://www.newegg.com/Product/Product.aspx?item=N82E16822234363" TargetMode="External"/><Relationship Id="rId17" Type="http://schemas.openxmlformats.org/officeDocument/2006/relationships/hyperlink" Target="https://www.wdc.com/content/dam/wdc/website/downloadable_assets/eng/spec_data_sheet/2879-771436.pdf" TargetMode="External"/><Relationship Id="rId38" Type="http://schemas.openxmlformats.org/officeDocument/2006/relationships/hyperlink" Target="https://toshiba.semicon-storage.com/us/product/storage-products/enterprise-hdd/mg06acaxxxx.html" TargetMode="External"/><Relationship Id="rId59" Type="http://schemas.openxmlformats.org/officeDocument/2006/relationships/hyperlink" Target="http://www.hgst.com/avl/src_front/compatibility.php?mode=product_pdf&amp;pid=106&amp;lang=en" TargetMode="External"/><Relationship Id="rId103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s://www.newegg.com/Product/Product.aspx?Item=N82E16822149629&amp;ignorebbr=1" TargetMode="External"/><Relationship Id="rId70" Type="http://schemas.openxmlformats.org/officeDocument/2006/relationships/hyperlink" Target="https://www.newegg.com/Product/Product.aspx?item=N82E16822179101" TargetMode="External"/><Relationship Id="rId91" Type="http://schemas.openxmlformats.org/officeDocument/2006/relationships/hyperlink" Target="https://www.newegg.com/Product/ComboBundleDetails.aspx?ItemList=Combo.3844444&amp;utm_medium=Email&amp;utm_source=GD072518&amp;cm_mmc=EMC-GD072518-_-landing-_-Item-_-22-146-118" TargetMode="External"/><Relationship Id="rId145" Type="http://schemas.openxmlformats.org/officeDocument/2006/relationships/hyperlink" Target="https://www.newegg.com/Product/Product.aspx?Item=22-179-130&amp;Tpk=22-179-130" TargetMode="External"/><Relationship Id="rId166" Type="http://schemas.openxmlformats.org/officeDocument/2006/relationships/hyperlink" Target="https://www.wdc.com/content/dam/wdc/website/downloadable_assets/eng/spec_data_sheet/2879-771437.pdf" TargetMode="External"/><Relationship Id="rId187" Type="http://schemas.openxmlformats.org/officeDocument/2006/relationships/hyperlink" Target="https://www.cdw.com/shop/products/HGST-Ultrastar-7K4000-HUS724030ALS640-hard-drive-3-TB-SAS-6Gb-s/3341368.asp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206"/>
  <sheetViews>
    <sheetView tabSelected="1" topLeftCell="R1" zoomScaleNormal="100" workbookViewId="0">
      <pane ySplit="2" topLeftCell="A106" activePane="bottomLeft" state="frozen"/>
      <selection pane="bottomLeft" activeCell="W111" sqref="W111"/>
    </sheetView>
  </sheetViews>
  <sheetFormatPr defaultRowHeight="15" x14ac:dyDescent="0.25"/>
  <cols>
    <col min="1" max="1" width="10.85546875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0" max="10" width="9.14062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30" width="9.42578125" style="3" customWidth="1"/>
    <col min="31" max="32" width="26.42578125" customWidth="1"/>
  </cols>
  <sheetData>
    <row r="1" spans="1:31" ht="15.75" thickBot="1" x14ac:dyDescent="0.3">
      <c r="A1" s="217" t="s">
        <v>87</v>
      </c>
      <c r="B1" s="218"/>
      <c r="C1" s="218"/>
      <c r="D1" s="218"/>
      <c r="E1" s="218"/>
      <c r="F1" s="219"/>
      <c r="G1" s="214" t="s">
        <v>67</v>
      </c>
      <c r="H1" s="215"/>
      <c r="I1" s="215"/>
      <c r="J1" s="215"/>
      <c r="K1" s="216"/>
      <c r="L1" s="206" t="s">
        <v>113</v>
      </c>
      <c r="M1" s="207"/>
      <c r="N1" s="207"/>
      <c r="O1" s="207"/>
      <c r="P1" s="208"/>
      <c r="Q1" s="209" t="s">
        <v>69</v>
      </c>
      <c r="R1" s="210"/>
      <c r="S1" s="210"/>
      <c r="T1" s="210"/>
      <c r="U1" s="211"/>
      <c r="V1" s="211"/>
      <c r="W1" s="204" t="s">
        <v>131</v>
      </c>
      <c r="X1" s="205"/>
      <c r="Y1" s="220" t="s">
        <v>36</v>
      </c>
      <c r="Z1" s="221"/>
      <c r="AA1" s="221"/>
      <c r="AB1" s="222"/>
      <c r="AC1" s="196" t="s">
        <v>151</v>
      </c>
      <c r="AD1" s="197"/>
      <c r="AE1" s="34"/>
    </row>
    <row r="2" spans="1:31" s="2" customFormat="1" ht="15.75" thickBot="1" x14ac:dyDescent="0.3">
      <c r="A2" s="8" t="s">
        <v>0</v>
      </c>
      <c r="B2" s="8" t="s">
        <v>1</v>
      </c>
      <c r="C2" s="8" t="s">
        <v>4</v>
      </c>
      <c r="D2" s="30" t="s">
        <v>48</v>
      </c>
      <c r="E2" s="9" t="s">
        <v>84</v>
      </c>
      <c r="F2" s="9" t="s">
        <v>26</v>
      </c>
      <c r="G2" s="59" t="s">
        <v>7</v>
      </c>
      <c r="H2" s="9" t="s">
        <v>64</v>
      </c>
      <c r="I2" s="9" t="s">
        <v>66</v>
      </c>
      <c r="J2" s="31" t="s">
        <v>63</v>
      </c>
      <c r="K2" s="60" t="s">
        <v>62</v>
      </c>
      <c r="L2" s="31" t="s">
        <v>153</v>
      </c>
      <c r="M2" s="20" t="s">
        <v>61</v>
      </c>
      <c r="N2" s="20" t="s">
        <v>60</v>
      </c>
      <c r="O2" s="20" t="s">
        <v>58</v>
      </c>
      <c r="P2" s="30" t="s">
        <v>59</v>
      </c>
      <c r="Q2" s="32" t="s">
        <v>35</v>
      </c>
      <c r="R2" s="20" t="s">
        <v>8</v>
      </c>
      <c r="S2" s="20" t="s">
        <v>9</v>
      </c>
      <c r="T2" s="30" t="s">
        <v>30</v>
      </c>
      <c r="U2" s="31" t="s">
        <v>21</v>
      </c>
      <c r="V2" s="30" t="s">
        <v>46</v>
      </c>
      <c r="W2" s="114" t="s">
        <v>2</v>
      </c>
      <c r="X2" s="33" t="s">
        <v>3</v>
      </c>
      <c r="Y2" s="32" t="s">
        <v>32</v>
      </c>
      <c r="Z2" s="20" t="s">
        <v>47</v>
      </c>
      <c r="AA2" s="30" t="s">
        <v>20</v>
      </c>
      <c r="AB2" s="9" t="s">
        <v>154</v>
      </c>
      <c r="AC2" s="153" t="s">
        <v>141</v>
      </c>
      <c r="AD2" s="154" t="s">
        <v>142</v>
      </c>
      <c r="AE2" s="147" t="s">
        <v>40</v>
      </c>
    </row>
    <row r="3" spans="1:31" ht="15.75" thickTop="1" x14ac:dyDescent="0.25">
      <c r="A3" s="1">
        <v>43579</v>
      </c>
      <c r="B3" t="s">
        <v>15</v>
      </c>
      <c r="C3" s="95" t="s">
        <v>16</v>
      </c>
      <c r="D3" s="27" t="s">
        <v>49</v>
      </c>
      <c r="E3" s="81">
        <v>3.5</v>
      </c>
      <c r="F3" s="69">
        <v>4</v>
      </c>
      <c r="G3" s="41">
        <v>7200</v>
      </c>
      <c r="H3" s="5"/>
      <c r="I3" s="5">
        <v>11.99</v>
      </c>
      <c r="J3" s="61">
        <f>(Table5[[#This Row],[RPM]]/5400-1)</f>
        <v>0.33333333333333326</v>
      </c>
      <c r="K3" s="44">
        <v>202</v>
      </c>
      <c r="L3">
        <v>3</v>
      </c>
      <c r="M3" s="36">
        <v>600000</v>
      </c>
      <c r="O3" s="36">
        <v>1000000</v>
      </c>
      <c r="P3" s="35">
        <f t="shared" ref="P3:P6" si="0">10^14</f>
        <v>100000000000000</v>
      </c>
      <c r="Q3" s="53">
        <f t="shared" ref="Q3:Q6" si="1">1.2*5+2*12</f>
        <v>30</v>
      </c>
      <c r="R3" s="5"/>
      <c r="S3" s="5">
        <v>7.3</v>
      </c>
      <c r="T3" s="107"/>
      <c r="U3" s="110" t="str">
        <f>""</f>
        <v/>
      </c>
      <c r="V3" s="110" t="str">
        <f>""</f>
        <v/>
      </c>
      <c r="W3" s="116">
        <v>215.67</v>
      </c>
      <c r="X3" s="6">
        <f>IF(Table5[[#This Row],[Cost]],Table5[[#This Row],[Cost]]/Table5[[#This Row],[SizTB]]*Exchange_Rate,"")</f>
        <v>53.917499999999997</v>
      </c>
      <c r="Y3" s="144">
        <f>Table5[[#This Row],[Cost]]+((CompareWarrYrs-Table5[[#This Row],[Warranty]])*(Incremental_Warr_Yr*Table5[[#This Row],[Cost]]))*Exchange_Rate</f>
        <v>263.11739999999998</v>
      </c>
      <c r="Z3" s="6">
        <f>IF(Table5[[#This Row],[$+Warr]],Table5[[#This Row],[$+Warr]]/Table5[[#This Row],[SizTB]],"")</f>
        <v>65.779349999999994</v>
      </c>
      <c r="AA3" s="6">
        <f>IFERROR(Table5[[#This Row],[$PerTB]]/CompareWarrYrs,"")</f>
        <v>13.155869999999998</v>
      </c>
      <c r="AB3" s="6" t="str">
        <f>IF(OR(Table5[[#This Row],[$ TB/year]]="",Table5[[#This Row],[Energy$yearPerTB]]=""),"",Table5[[#This Row],[$ TB/year]]+Table5[[#This Row],[Energy$yearPerTB]])</f>
        <v/>
      </c>
      <c r="AC3" s="171">
        <v>29</v>
      </c>
      <c r="AD3" s="156"/>
      <c r="AE3" s="157" t="s">
        <v>122</v>
      </c>
    </row>
    <row r="4" spans="1:31" x14ac:dyDescent="0.25">
      <c r="A4" s="1">
        <v>43579</v>
      </c>
      <c r="B4" t="s">
        <v>15</v>
      </c>
      <c r="C4" s="95" t="s">
        <v>16</v>
      </c>
      <c r="D4" s="27" t="s">
        <v>49</v>
      </c>
      <c r="E4" s="81">
        <v>3.5</v>
      </c>
      <c r="F4" s="69">
        <v>6</v>
      </c>
      <c r="G4" s="42">
        <v>7200</v>
      </c>
      <c r="H4" s="5"/>
      <c r="I4" s="5">
        <v>11.99</v>
      </c>
      <c r="J4" s="61">
        <f>(Table5[[#This Row],[RPM]]/5400-1)</f>
        <v>0.33333333333333326</v>
      </c>
      <c r="K4" s="45">
        <v>227</v>
      </c>
      <c r="L4">
        <v>3</v>
      </c>
      <c r="M4" s="36">
        <v>600000</v>
      </c>
      <c r="O4" s="36">
        <v>1000000</v>
      </c>
      <c r="P4" s="35">
        <f t="shared" si="0"/>
        <v>100000000000000</v>
      </c>
      <c r="Q4" s="53">
        <f t="shared" si="1"/>
        <v>30</v>
      </c>
      <c r="R4" s="5"/>
      <c r="S4" s="5">
        <v>7.3</v>
      </c>
      <c r="T4" s="107"/>
      <c r="U4" s="110" t="str">
        <f>""</f>
        <v/>
      </c>
      <c r="V4" s="110" t="str">
        <f>""</f>
        <v/>
      </c>
      <c r="W4" s="116">
        <v>252.97</v>
      </c>
      <c r="X4" s="6">
        <f>IF(Table5[[#This Row],[Cost]],Table5[[#This Row],[Cost]]/Table5[[#This Row],[SizTB]]*Exchange_Rate,"")</f>
        <v>42.161666666666669</v>
      </c>
      <c r="Y4" s="145">
        <v>165.99</v>
      </c>
      <c r="Z4" s="6">
        <f>IF(Table5[[#This Row],[$+Warr]],Table5[[#This Row],[$+Warr]]/Table5[[#This Row],[SizTB]],"")</f>
        <v>27.665000000000003</v>
      </c>
      <c r="AA4" s="6">
        <f>IFERROR(Table5[[#This Row],[$PerTB]]/CompareWarrYrs,"")</f>
        <v>5.5330000000000004</v>
      </c>
      <c r="AB4" s="6" t="str">
        <f>IF(OR(Table5[[#This Row],[$ TB/year]]="",Table5[[#This Row],[Energy$yearPerTB]]=""),"",Table5[[#This Row],[$ TB/year]]+Table5[[#This Row],[Energy$yearPerTB]])</f>
        <v/>
      </c>
      <c r="AC4" s="155">
        <v>29</v>
      </c>
      <c r="AD4" s="156"/>
      <c r="AE4" s="68" t="s">
        <v>78</v>
      </c>
    </row>
    <row r="5" spans="1:31" x14ac:dyDescent="0.25">
      <c r="A5" s="1">
        <v>43482</v>
      </c>
      <c r="B5" t="s">
        <v>15</v>
      </c>
      <c r="C5" s="95" t="s">
        <v>16</v>
      </c>
      <c r="D5" s="27" t="s">
        <v>49</v>
      </c>
      <c r="E5" s="81">
        <v>3.5</v>
      </c>
      <c r="F5" s="69">
        <v>8</v>
      </c>
      <c r="G5" s="42">
        <v>7200</v>
      </c>
      <c r="H5" s="5"/>
      <c r="I5" s="5">
        <v>11.99</v>
      </c>
      <c r="J5" s="61">
        <f>(Table5[[#This Row],[RPM]]/5400-1)</f>
        <v>0.33333333333333326</v>
      </c>
      <c r="K5" s="45">
        <v>205</v>
      </c>
      <c r="L5">
        <v>3</v>
      </c>
      <c r="M5" s="36">
        <v>600000</v>
      </c>
      <c r="O5" s="36">
        <v>1000000</v>
      </c>
      <c r="P5" s="35">
        <f t="shared" si="0"/>
        <v>100000000000000</v>
      </c>
      <c r="Q5" s="53">
        <f t="shared" si="1"/>
        <v>30</v>
      </c>
      <c r="R5" s="5"/>
      <c r="S5" s="5">
        <v>5.0999999999999996</v>
      </c>
      <c r="T5" s="107"/>
      <c r="U5" s="110" t="str">
        <f>""</f>
        <v/>
      </c>
      <c r="V5" s="110" t="str">
        <f>""</f>
        <v/>
      </c>
      <c r="W5" s="116">
        <f>286+12</f>
        <v>298</v>
      </c>
      <c r="X5" s="6">
        <f>IF(Table5[[#This Row],[Cost]],Table5[[#This Row],[Cost]]/Table5[[#This Row],[SizTB]]*Exchange_Rate,"")</f>
        <v>37.25</v>
      </c>
      <c r="Y5" s="145">
        <f>Table5[[#This Row],[Cost]]+((CompareWarrYrs-Table5[[#This Row],[Warranty]])*(Incremental_Warr_Yr*Table5[[#This Row],[Cost]]))*Exchange_Rate</f>
        <v>363.56</v>
      </c>
      <c r="Z5" s="6">
        <f>IF(Table5[[#This Row],[$+Warr]],Table5[[#This Row],[$+Warr]]/Table5[[#This Row],[SizTB]],"")</f>
        <v>45.445</v>
      </c>
      <c r="AA5" s="6">
        <f>IFERROR(Table5[[#This Row],[$PerTB]]/CompareWarrYrs,"")</f>
        <v>9.0890000000000004</v>
      </c>
      <c r="AB5" s="6" t="str">
        <f>IF(OR(Table5[[#This Row],[$ TB/year]]="",Table5[[#This Row],[Energy$yearPerTB]]=""),"",Table5[[#This Row],[$ TB/year]]+Table5[[#This Row],[Energy$yearPerTB]])</f>
        <v/>
      </c>
      <c r="AC5" s="155">
        <v>29</v>
      </c>
      <c r="AD5" s="156"/>
      <c r="AE5" s="40"/>
    </row>
    <row r="6" spans="1:31" x14ac:dyDescent="0.25">
      <c r="A6" s="1">
        <v>43531</v>
      </c>
      <c r="B6" t="s">
        <v>15</v>
      </c>
      <c r="C6" s="95" t="s">
        <v>16</v>
      </c>
      <c r="D6" s="27" t="s">
        <v>49</v>
      </c>
      <c r="E6" s="81">
        <v>3.5</v>
      </c>
      <c r="F6" s="69">
        <v>10</v>
      </c>
      <c r="G6" s="42">
        <v>7200</v>
      </c>
      <c r="H6" s="5"/>
      <c r="I6" s="5">
        <v>11.99</v>
      </c>
      <c r="J6" s="61">
        <f>(Table5[[#This Row],[RPM]]/5400-1)</f>
        <v>0.33333333333333326</v>
      </c>
      <c r="K6" s="45">
        <v>240</v>
      </c>
      <c r="L6">
        <v>3</v>
      </c>
      <c r="M6" s="36">
        <v>600000</v>
      </c>
      <c r="O6" s="36">
        <v>1000000</v>
      </c>
      <c r="P6" s="35">
        <f t="shared" si="0"/>
        <v>100000000000000</v>
      </c>
      <c r="Q6" s="53">
        <f t="shared" si="1"/>
        <v>30</v>
      </c>
      <c r="R6" s="5"/>
      <c r="S6" s="5">
        <v>5.0999999999999996</v>
      </c>
      <c r="T6" s="107"/>
      <c r="U6" s="110" t="str">
        <f>""</f>
        <v/>
      </c>
      <c r="V6" s="110" t="str">
        <f>""</f>
        <v/>
      </c>
      <c r="W6" s="116">
        <v>357.73</v>
      </c>
      <c r="X6" s="6">
        <f>IF(Table5[[#This Row],[Cost]],Table5[[#This Row],[Cost]]/Table5[[#This Row],[SizTB]]*Exchange_Rate,"")</f>
        <v>35.773000000000003</v>
      </c>
      <c r="Y6" s="145">
        <f>Table5[[#This Row],[Cost]]+((CompareWarrYrs-Table5[[#This Row],[Warranty]])*(Incremental_Warr_Yr*Table5[[#This Row],[Cost]]))*Exchange_Rate</f>
        <v>436.43060000000003</v>
      </c>
      <c r="Z6" s="6">
        <f>IF(Table5[[#This Row],[$+Warr]],Table5[[#This Row],[$+Warr]]/Table5[[#This Row],[SizTB]],"")</f>
        <v>43.643060000000006</v>
      </c>
      <c r="AA6" s="6">
        <f>IFERROR(Table5[[#This Row],[$PerTB]]/CompareWarrYrs,"")</f>
        <v>8.7286120000000018</v>
      </c>
      <c r="AB6" s="6" t="str">
        <f>IF(OR(Table5[[#This Row],[$ TB/year]]="",Table5[[#This Row],[Energy$yearPerTB]]=""),"",Table5[[#This Row],[$ TB/year]]+Table5[[#This Row],[Energy$yearPerTB]])</f>
        <v/>
      </c>
      <c r="AC6" s="155">
        <v>29</v>
      </c>
      <c r="AD6" s="156"/>
      <c r="AE6" s="40"/>
    </row>
    <row r="7" spans="1:31" x14ac:dyDescent="0.25">
      <c r="A7" s="1">
        <v>43298</v>
      </c>
      <c r="B7" t="s">
        <v>15</v>
      </c>
      <c r="C7" s="95" t="s">
        <v>135</v>
      </c>
      <c r="D7" s="27" t="s">
        <v>124</v>
      </c>
      <c r="E7" s="81">
        <v>2.5</v>
      </c>
      <c r="F7" s="69">
        <v>1</v>
      </c>
      <c r="G7" s="42">
        <v>5400</v>
      </c>
      <c r="H7" s="5">
        <v>5.5</v>
      </c>
      <c r="I7" s="5">
        <v>12</v>
      </c>
      <c r="J7" s="61">
        <f>(Table5[[#This Row],[RPM]]/5400-1)</f>
        <v>0</v>
      </c>
      <c r="K7" s="45">
        <v>99</v>
      </c>
      <c r="L7">
        <v>3</v>
      </c>
      <c r="M7" s="36">
        <v>600000</v>
      </c>
      <c r="O7" s="36"/>
      <c r="P7" s="35"/>
      <c r="Q7" s="53">
        <v>4.5</v>
      </c>
      <c r="R7" s="5">
        <v>1.6</v>
      </c>
      <c r="S7" s="5">
        <v>0.8</v>
      </c>
      <c r="T7" s="107">
        <v>0.2</v>
      </c>
      <c r="U7" s="110">
        <f>(((Table5[[#This Row],[Watts Active]]*Power_On_Hours_Year/1000)*Active_Duty_Cycle)+((Table5[[#This Row],[Watts Idle]]*Power_On_Hours_Year/1000)*(100%-Active_Duty_Cycle)))*CostPerKWH</f>
        <v>1.0518912</v>
      </c>
      <c r="V7" s="110">
        <f>Table5[Energy$year]/Table5[[#This Row],[SizTB]]</f>
        <v>1.0518912</v>
      </c>
      <c r="W7" s="116">
        <v>48.99</v>
      </c>
      <c r="X7" s="6">
        <f>IF(Table5[[#This Row],[Cost]],Table5[[#This Row],[Cost]]/Table5[[#This Row],[SizTB]]*Exchange_Rate,"")</f>
        <v>48.99</v>
      </c>
      <c r="Y7" s="145">
        <f>Table5[[#This Row],[Cost]]+((CompareWarrYrs-Table5[[#This Row],[Warranty]])*(Incremental_Warr_Yr*Table5[[#This Row],[Cost]]))*Exchange_Rate</f>
        <v>59.767800000000001</v>
      </c>
      <c r="Z7" s="6">
        <f>IF(Table5[[#This Row],[$+Warr]],Table5[[#This Row],[$+Warr]]/Table5[[#This Row],[SizTB]],"")</f>
        <v>59.767800000000001</v>
      </c>
      <c r="AA7" s="6">
        <f>IFERROR(Table5[[#This Row],[$PerTB]]/CompareWarrYrs,"")</f>
        <v>11.95356</v>
      </c>
      <c r="AB7" s="6">
        <f>IF(OR(Table5[[#This Row],[$ TB/year]]="",Table5[[#This Row],[Energy$yearPerTB]]=""),"",Table5[[#This Row],[$ TB/year]]+Table5[[#This Row],[Energy$yearPerTB]])</f>
        <v>13.0054512</v>
      </c>
      <c r="AC7" s="155"/>
      <c r="AD7" s="156"/>
      <c r="AE7" s="40"/>
    </row>
    <row r="8" spans="1:31" x14ac:dyDescent="0.25">
      <c r="A8" s="1">
        <v>43412</v>
      </c>
      <c r="B8" t="s">
        <v>15</v>
      </c>
      <c r="C8" s="95" t="s">
        <v>136</v>
      </c>
      <c r="D8" s="27" t="s">
        <v>124</v>
      </c>
      <c r="E8" s="81">
        <v>2.5</v>
      </c>
      <c r="F8" s="69">
        <v>1</v>
      </c>
      <c r="G8" s="42">
        <v>7200</v>
      </c>
      <c r="H8" s="5">
        <v>4.2</v>
      </c>
      <c r="I8" s="5">
        <v>12</v>
      </c>
      <c r="J8" s="61">
        <f>(Table5[[#This Row],[RPM]]/5400-1)</f>
        <v>0.33333333333333326</v>
      </c>
      <c r="K8" s="45">
        <v>128</v>
      </c>
      <c r="L8">
        <v>3</v>
      </c>
      <c r="M8" s="36">
        <v>600000</v>
      </c>
      <c r="O8" s="36"/>
      <c r="P8" s="35"/>
      <c r="Q8" s="53">
        <v>5.5</v>
      </c>
      <c r="R8" s="5">
        <v>2.7</v>
      </c>
      <c r="S8" s="5">
        <v>2</v>
      </c>
      <c r="T8" s="107">
        <v>0.2</v>
      </c>
      <c r="U8" s="110">
        <f>(((Table5[[#This Row],[Watts Active]]*Power_On_Hours_Year/1000)*Active_Duty_Cycle)+((Table5[[#This Row],[Watts Idle]]*Power_On_Hours_Year/1000)*(100%-Active_Duty_Cycle)))*CostPerKWH</f>
        <v>2.3448408000000001</v>
      </c>
      <c r="V8" s="110">
        <f>Table5[Energy$year]/Table5[[#This Row],[SizTB]]</f>
        <v>2.3448408000000001</v>
      </c>
      <c r="W8" s="116">
        <f>53.57*0.9</f>
        <v>48.213000000000001</v>
      </c>
      <c r="X8" s="6">
        <f>IF(Table5[[#This Row],[Cost]],Table5[[#This Row],[Cost]]/Table5[[#This Row],[SizTB]]*Exchange_Rate,"")</f>
        <v>48.213000000000001</v>
      </c>
      <c r="Y8" s="145">
        <f>Table5[[#This Row],[Cost]]+((CompareWarrYrs-Table5[[#This Row],[Warranty]])*(Incremental_Warr_Yr*Table5[[#This Row],[Cost]]))*Exchange_Rate</f>
        <v>58.819860000000006</v>
      </c>
      <c r="Z8" s="6">
        <f>IF(Table5[[#This Row],[$+Warr]],Table5[[#This Row],[$+Warr]]/Table5[[#This Row],[SizTB]],"")</f>
        <v>58.819860000000006</v>
      </c>
      <c r="AA8" s="6">
        <f>IFERROR(Table5[[#This Row],[$PerTB]]/CompareWarrYrs,"")</f>
        <v>11.763972000000001</v>
      </c>
      <c r="AB8" s="6">
        <f>IF(OR(Table5[[#This Row],[$ TB/year]]="",Table5[[#This Row],[Energy$yearPerTB]]=""),"",Table5[[#This Row],[$ TB/year]]+Table5[[#This Row],[Energy$yearPerTB]])</f>
        <v>14.108812800000001</v>
      </c>
      <c r="AC8" s="155"/>
      <c r="AD8" s="156"/>
      <c r="AE8" s="40"/>
    </row>
    <row r="9" spans="1:31" x14ac:dyDescent="0.25">
      <c r="A9" s="1">
        <v>43463</v>
      </c>
      <c r="B9" t="s">
        <v>15</v>
      </c>
      <c r="C9" s="95" t="s">
        <v>134</v>
      </c>
      <c r="D9" s="106" t="s">
        <v>49</v>
      </c>
      <c r="E9" s="81">
        <v>3.5</v>
      </c>
      <c r="F9" s="69">
        <v>1</v>
      </c>
      <c r="G9" s="42">
        <v>7200</v>
      </c>
      <c r="H9" s="5">
        <v>4.2</v>
      </c>
      <c r="I9" s="5">
        <v>8.3000000000000007</v>
      </c>
      <c r="J9" s="61">
        <f>(Table5[[#This Row],[RPM]]/5400-1)</f>
        <v>0.33333333333333326</v>
      </c>
      <c r="K9" s="45">
        <v>175</v>
      </c>
      <c r="L9">
        <v>5</v>
      </c>
      <c r="M9" s="36">
        <v>600000</v>
      </c>
      <c r="N9">
        <v>550</v>
      </c>
      <c r="O9" s="36">
        <v>2000000</v>
      </c>
      <c r="P9" s="35">
        <v>1000000000000000</v>
      </c>
      <c r="Q9" s="53"/>
      <c r="R9" s="5">
        <v>8.1</v>
      </c>
      <c r="S9" s="5">
        <v>5.9</v>
      </c>
      <c r="T9" s="107"/>
      <c r="U9" s="110">
        <f>(((Table5[[#This Row],[Watts Active]]*Power_On_Hours_Year/1000)*Active_Duty_Cycle)+((Table5[[#This Row],[Watts Idle]]*Power_On_Hours_Year/1000)*(100%-Active_Duty_Cycle)))*CostPerKWH</f>
        <v>6.9468648000000002</v>
      </c>
      <c r="V9" s="110">
        <f>Table5[Energy$year]/Table5[[#This Row],[SizTB]]</f>
        <v>6.9468648000000002</v>
      </c>
      <c r="W9" s="116">
        <v>89.99</v>
      </c>
      <c r="X9" s="6">
        <f>IF(Table5[[#This Row],[Cost]],Table5[[#This Row],[Cost]]/Table5[[#This Row],[SizTB]]*Exchange_Rate,"")</f>
        <v>89.99</v>
      </c>
      <c r="Y9" s="145">
        <f>Table5[[#This Row],[Cost]]+((CompareWarrYrs-Table5[[#This Row],[Warranty]])*(Incremental_Warr_Yr*Table5[[#This Row],[Cost]]))*Exchange_Rate</f>
        <v>89.99</v>
      </c>
      <c r="Z9" s="6">
        <f>IF(Table5[[#This Row],[$+Warr]],Table5[[#This Row],[$+Warr]]/Table5[[#This Row],[SizTB]],"")</f>
        <v>89.99</v>
      </c>
      <c r="AA9" s="6">
        <f>IFERROR(Table5[[#This Row],[$PerTB]]/CompareWarrYrs,"")</f>
        <v>17.997999999999998</v>
      </c>
      <c r="AB9" s="6">
        <f>IF(OR(Table5[[#This Row],[$ TB/year]]="",Table5[[#This Row],[Energy$yearPerTB]]=""),"",Table5[[#This Row],[$ TB/year]]+Table5[[#This Row],[Energy$yearPerTB]])</f>
        <v>24.944864799999998</v>
      </c>
      <c r="AC9" s="155"/>
      <c r="AD9" s="156"/>
      <c r="AE9" s="40"/>
    </row>
    <row r="10" spans="1:31" x14ac:dyDescent="0.25">
      <c r="A10" s="1">
        <v>43094</v>
      </c>
      <c r="B10" t="s">
        <v>15</v>
      </c>
      <c r="C10" s="95" t="s">
        <v>134</v>
      </c>
      <c r="D10" s="106" t="s">
        <v>49</v>
      </c>
      <c r="E10" s="81">
        <v>3.5</v>
      </c>
      <c r="F10" s="69">
        <v>2</v>
      </c>
      <c r="G10" s="42">
        <v>7200</v>
      </c>
      <c r="H10" s="5">
        <v>4.2</v>
      </c>
      <c r="I10" s="5">
        <v>8.3000000000000007</v>
      </c>
      <c r="J10" s="61">
        <f>(Table5[[#This Row],[RPM]]/5400-1)</f>
        <v>0.33333333333333326</v>
      </c>
      <c r="K10" s="45">
        <v>175</v>
      </c>
      <c r="L10">
        <v>5</v>
      </c>
      <c r="M10" s="36">
        <v>600000</v>
      </c>
      <c r="N10">
        <v>550</v>
      </c>
      <c r="O10" s="36">
        <v>2000000</v>
      </c>
      <c r="P10" s="35">
        <v>1000000000000000</v>
      </c>
      <c r="Q10" s="53"/>
      <c r="R10" s="5">
        <v>8.1</v>
      </c>
      <c r="S10" s="5">
        <v>5.9</v>
      </c>
      <c r="T10" s="107"/>
      <c r="U10" s="110">
        <f>(((Table5[[#This Row],[Watts Active]]*Power_On_Hours_Year/1000)*Active_Duty_Cycle)+((Table5[[#This Row],[Watts Idle]]*Power_On_Hours_Year/1000)*(100%-Active_Duty_Cycle)))*CostPerKWH</f>
        <v>6.9468648000000002</v>
      </c>
      <c r="V10" s="110">
        <f>Table5[Energy$year]/Table5[[#This Row],[SizTB]]</f>
        <v>3.4734324000000001</v>
      </c>
      <c r="W10" s="116">
        <v>121.38</v>
      </c>
      <c r="X10" s="6">
        <f>IF(Table5[[#This Row],[Cost]],Table5[[#This Row],[Cost]]/Table5[[#This Row],[SizTB]]*Exchange_Rate,"")</f>
        <v>60.69</v>
      </c>
      <c r="Y10" s="145">
        <f>Table5[[#This Row],[Cost]]+((CompareWarrYrs-Table5[[#This Row],[Warranty]])*(Incremental_Warr_Yr*Table5[[#This Row],[Cost]]))*Exchange_Rate</f>
        <v>121.38</v>
      </c>
      <c r="Z10" s="6">
        <f>IF(Table5[[#This Row],[$+Warr]],Table5[[#This Row],[$+Warr]]/Table5[[#This Row],[SizTB]],"")</f>
        <v>60.69</v>
      </c>
      <c r="AA10" s="6">
        <f>IFERROR(Table5[[#This Row],[$PerTB]]/CompareWarrYrs,"")</f>
        <v>12.138</v>
      </c>
      <c r="AB10" s="6">
        <f>IF(OR(Table5[[#This Row],[$ TB/year]]="",Table5[[#This Row],[Energy$yearPerTB]]=""),"",Table5[[#This Row],[$ TB/year]]+Table5[[#This Row],[Energy$yearPerTB]])</f>
        <v>15.6114324</v>
      </c>
      <c r="AC10" s="155"/>
      <c r="AD10" s="156"/>
      <c r="AE10" s="40"/>
    </row>
    <row r="11" spans="1:31" x14ac:dyDescent="0.25">
      <c r="A11" s="1">
        <v>43298</v>
      </c>
      <c r="B11" t="s">
        <v>15</v>
      </c>
      <c r="C11" s="95" t="s">
        <v>143</v>
      </c>
      <c r="D11" s="106" t="s">
        <v>49</v>
      </c>
      <c r="E11" s="81">
        <v>3.5</v>
      </c>
      <c r="F11" s="69">
        <v>2</v>
      </c>
      <c r="G11" s="42">
        <v>7200</v>
      </c>
      <c r="H11" s="5"/>
      <c r="I11" s="5">
        <v>8</v>
      </c>
      <c r="J11" s="61">
        <f>(Table5[[#This Row],[RPM]]/5400-1)</f>
        <v>0.33333333333333326</v>
      </c>
      <c r="K11" s="45">
        <v>171</v>
      </c>
      <c r="L11">
        <v>5</v>
      </c>
      <c r="M11" s="36">
        <v>600000</v>
      </c>
      <c r="O11" s="36">
        <v>2000000</v>
      </c>
      <c r="P11" s="35">
        <v>1000000000000000</v>
      </c>
      <c r="Q11" s="53">
        <f>2*12+1.2*5</f>
        <v>30</v>
      </c>
      <c r="R11" s="5">
        <v>11.4</v>
      </c>
      <c r="S11" s="5">
        <v>6.9</v>
      </c>
      <c r="T11" s="107"/>
      <c r="U11" s="110">
        <f>(((Table5[[#This Row],[Watts Active]]*Power_On_Hours_Year/1000)*Active_Duty_Cycle)+((Table5[[#This Row],[Watts Idle]]*Power_On_Hours_Year/1000)*(100%-Active_Duty_Cycle)))*CostPerKWH</f>
        <v>8.5466160000000002</v>
      </c>
      <c r="V11" s="110">
        <f>Table5[Energy$year]/Table5[[#This Row],[SizTB]]</f>
        <v>4.2733080000000001</v>
      </c>
      <c r="W11" s="116">
        <v>120.89</v>
      </c>
      <c r="X11" s="6">
        <f>IF(Table5[[#This Row],[Cost]],Table5[[#This Row],[Cost]]/Table5[[#This Row],[SizTB]]*Exchange_Rate,"")</f>
        <v>60.445</v>
      </c>
      <c r="Y11" s="145">
        <f>Table5[[#This Row],[Cost]]+((CompareWarrYrs-Table5[[#This Row],[Warranty]])*(Incremental_Warr_Yr*Table5[[#This Row],[Cost]]))</f>
        <v>120.89</v>
      </c>
      <c r="Z11" s="6">
        <f>IF(Table5[[#This Row],[$+Warr]],Table5[[#This Row],[$+Warr]]/Table5[[#This Row],[SizTB]],"")</f>
        <v>60.445</v>
      </c>
      <c r="AA11" s="6">
        <f>IFERROR(Table5[[#This Row],[$PerTB]]/CompareWarrYrs,"")</f>
        <v>12.089</v>
      </c>
      <c r="AB11" s="6">
        <f>IF(OR(Table5[[#This Row],[$ TB/year]]="",Table5[[#This Row],[Energy$yearPerTB]]=""),"",Table5[[#This Row],[$ TB/year]]+Table5[[#This Row],[Energy$yearPerTB]])</f>
        <v>16.362307999999999</v>
      </c>
      <c r="AC11"/>
      <c r="AD11" s="156"/>
      <c r="AE11" s="40"/>
    </row>
    <row r="12" spans="1:31" x14ac:dyDescent="0.25">
      <c r="A12" s="1">
        <v>43284</v>
      </c>
      <c r="B12" t="s">
        <v>15</v>
      </c>
      <c r="C12" s="95" t="s">
        <v>143</v>
      </c>
      <c r="D12" s="106" t="s">
        <v>49</v>
      </c>
      <c r="E12" s="81">
        <v>3.5</v>
      </c>
      <c r="F12" s="69">
        <v>3</v>
      </c>
      <c r="G12" s="42">
        <v>7200</v>
      </c>
      <c r="H12" s="5"/>
      <c r="I12" s="5">
        <v>8</v>
      </c>
      <c r="J12" s="61">
        <f>(Table5[[#This Row],[RPM]]/5400-1)</f>
        <v>0.33333333333333326</v>
      </c>
      <c r="K12" s="45">
        <v>171</v>
      </c>
      <c r="L12">
        <v>5</v>
      </c>
      <c r="M12" s="36">
        <v>600000</v>
      </c>
      <c r="O12" s="36">
        <v>2000000</v>
      </c>
      <c r="P12" s="35">
        <v>1000000000000000</v>
      </c>
      <c r="Q12" s="53">
        <f>2*12+1.2*5</f>
        <v>30</v>
      </c>
      <c r="R12" s="5">
        <v>11.4</v>
      </c>
      <c r="S12" s="5">
        <v>6.9</v>
      </c>
      <c r="T12" s="107"/>
      <c r="U12" s="110">
        <f>(((Table5[[#This Row],[Watts Active]]*Power_On_Hours_Year/1000)*Active_Duty_Cycle)+((Table5[[#This Row],[Watts Idle]]*Power_On_Hours_Year/1000)*(100%-Active_Duty_Cycle)))*CostPerKWH</f>
        <v>8.5466160000000002</v>
      </c>
      <c r="V12" s="110">
        <f>Table5[Energy$year]/Table5[[#This Row],[SizTB]]</f>
        <v>2.8488720000000001</v>
      </c>
      <c r="W12" s="116">
        <v>170</v>
      </c>
      <c r="X12" s="6">
        <f>IF(Table5[[#This Row],[Cost]],Table5[[#This Row],[Cost]]/Table5[[#This Row],[SizTB]]*Exchange_Rate,"")</f>
        <v>56.666666666666664</v>
      </c>
      <c r="Y12" s="145">
        <f>Table5[[#This Row],[Cost]]+((CompareWarrYrs-Table5[[#This Row],[Warranty]])*(Incremental_Warr_Yr*Table5[[#This Row],[Cost]]))</f>
        <v>170</v>
      </c>
      <c r="Z12" s="6">
        <f>IF(Table5[[#This Row],[$+Warr]],Table5[[#This Row],[$+Warr]]/Table5[[#This Row],[SizTB]],"")</f>
        <v>56.666666666666664</v>
      </c>
      <c r="AA12" s="6">
        <f>IFERROR(Table5[[#This Row],[$PerTB]]/CompareWarrYrs,"")</f>
        <v>11.333333333333332</v>
      </c>
      <c r="AB12" s="6">
        <f>IF(OR(Table5[[#This Row],[$ TB/year]]="",Table5[[#This Row],[Energy$yearPerTB]]=""),"",Table5[[#This Row],[$ TB/year]]+Table5[[#This Row],[Energy$yearPerTB]])</f>
        <v>14.182205333333332</v>
      </c>
      <c r="AC12" s="155"/>
      <c r="AD12" s="156"/>
      <c r="AE12" s="40"/>
    </row>
    <row r="13" spans="1:31" x14ac:dyDescent="0.25">
      <c r="A13" s="1">
        <v>43531</v>
      </c>
      <c r="B13" t="s">
        <v>15</v>
      </c>
      <c r="C13" s="95" t="s">
        <v>143</v>
      </c>
      <c r="D13" s="106" t="s">
        <v>49</v>
      </c>
      <c r="E13" s="81">
        <v>3.5</v>
      </c>
      <c r="F13" s="69">
        <v>4</v>
      </c>
      <c r="G13" s="42">
        <v>7200</v>
      </c>
      <c r="H13" s="5"/>
      <c r="I13" s="5">
        <v>8</v>
      </c>
      <c r="J13" s="61">
        <f>(Table5[[#This Row],[RPM]]/5400-1)</f>
        <v>0.33333333333333326</v>
      </c>
      <c r="K13" s="45">
        <v>171</v>
      </c>
      <c r="L13">
        <v>5</v>
      </c>
      <c r="M13" s="36">
        <v>600000</v>
      </c>
      <c r="O13" s="36">
        <v>2000000</v>
      </c>
      <c r="P13" s="35">
        <v>1000000000000000</v>
      </c>
      <c r="Q13" s="53">
        <f>2*12+1.2*5</f>
        <v>30</v>
      </c>
      <c r="R13" s="5">
        <v>11.4</v>
      </c>
      <c r="S13" s="5">
        <v>6.9</v>
      </c>
      <c r="T13" s="107"/>
      <c r="U13" s="110">
        <f>(((Table5[[#This Row],[Watts Active]]*Power_On_Hours_Year/1000)*Active_Duty_Cycle)+((Table5[[#This Row],[Watts Idle]]*Power_On_Hours_Year/1000)*(100%-Active_Duty_Cycle)))*CostPerKWH</f>
        <v>8.5466160000000002</v>
      </c>
      <c r="V13" s="110">
        <f>Table5[Energy$year]/Table5[[#This Row],[SizTB]]</f>
        <v>2.1366540000000001</v>
      </c>
      <c r="W13" s="116">
        <v>129.99</v>
      </c>
      <c r="X13" s="6">
        <f>IF(Table5[[#This Row],[Cost]],Table5[[#This Row],[Cost]]/Table5[[#This Row],[SizTB]]*Exchange_Rate,"")</f>
        <v>32.497500000000002</v>
      </c>
      <c r="Y13" s="145">
        <f>Table5[[#This Row],[Cost]]+((CompareWarrYrs-Table5[[#This Row],[Warranty]])*(Incremental_Warr_Yr*Table5[[#This Row],[Cost]]))</f>
        <v>129.99</v>
      </c>
      <c r="Z13" s="6">
        <f>IF(Table5[[#This Row],[$+Warr]],Table5[[#This Row],[$+Warr]]/Table5[[#This Row],[SizTB]],"")</f>
        <v>32.497500000000002</v>
      </c>
      <c r="AA13" s="6">
        <f>IFERROR(Table5[[#This Row],[$PerTB]]/CompareWarrYrs,"")</f>
        <v>6.4995000000000003</v>
      </c>
      <c r="AB13" s="6">
        <f>IF(OR(Table5[[#This Row],[$ TB/year]]="",Table5[[#This Row],[Energy$yearPerTB]]=""),"",Table5[[#This Row],[$ TB/year]]+Table5[[#This Row],[Energy$yearPerTB]])</f>
        <v>8.6361540000000012</v>
      </c>
      <c r="AC13" s="155"/>
      <c r="AD13" s="156"/>
      <c r="AE13" s="40"/>
    </row>
    <row r="14" spans="1:31" x14ac:dyDescent="0.25">
      <c r="A14" s="1">
        <v>43463</v>
      </c>
      <c r="B14" t="s">
        <v>15</v>
      </c>
      <c r="C14" s="95" t="s">
        <v>133</v>
      </c>
      <c r="D14" s="27" t="s">
        <v>49</v>
      </c>
      <c r="E14" s="81">
        <v>3.5</v>
      </c>
      <c r="F14" s="69">
        <v>2</v>
      </c>
      <c r="G14" s="42">
        <v>7200</v>
      </c>
      <c r="H14" s="5">
        <v>4.16</v>
      </c>
      <c r="I14" s="5">
        <v>8</v>
      </c>
      <c r="J14" s="61">
        <f>(Table5[[#This Row],[RPM]]/5400-1)</f>
        <v>0.33333333333333326</v>
      </c>
      <c r="K14" s="45">
        <v>192</v>
      </c>
      <c r="L14">
        <v>5</v>
      </c>
      <c r="M14" s="36">
        <v>600000</v>
      </c>
      <c r="O14" s="36">
        <v>2000000</v>
      </c>
      <c r="P14" s="35">
        <v>1000000000000000</v>
      </c>
      <c r="Q14" s="53"/>
      <c r="R14" s="5">
        <v>9.1</v>
      </c>
      <c r="S14" s="5">
        <v>7.1</v>
      </c>
      <c r="T14" s="107"/>
      <c r="U14" s="110">
        <f>(((Table5[[#This Row],[Watts Active]]*Power_On_Hours_Year/1000)*Active_Duty_Cycle)+((Table5[[#This Row],[Watts Idle]]*Power_On_Hours_Year/1000)*(100%-Active_Duty_Cycle)))*CostPerKWH</f>
        <v>8.2179000000000002</v>
      </c>
      <c r="V14" s="110">
        <f>Table5[Energy$year]/Table5[[#This Row],[SizTB]]</f>
        <v>4.1089500000000001</v>
      </c>
      <c r="W14" s="116">
        <v>147.33000000000001</v>
      </c>
      <c r="X14" s="6">
        <f>IF(Table5[[#This Row],[Cost]],Table5[[#This Row],[Cost]]/Table5[[#This Row],[SizTB]]*Exchange_Rate,"")</f>
        <v>73.665000000000006</v>
      </c>
      <c r="Y14" s="145">
        <f>Table5[[#This Row],[Cost]]+((CompareWarrYrs-Table5[[#This Row],[Warranty]])*(Incremental_Warr_Yr*Table5[[#This Row],[Cost]]))*Exchange_Rate</f>
        <v>147.33000000000001</v>
      </c>
      <c r="Z14" s="6">
        <f>IF(Table5[[#This Row],[$+Warr]],Table5[[#This Row],[$+Warr]]/Table5[[#This Row],[SizTB]],"")</f>
        <v>73.665000000000006</v>
      </c>
      <c r="AA14" s="6">
        <f>IFERROR(Table5[[#This Row],[$PerTB]]/CompareWarrYrs,"")</f>
        <v>14.733000000000001</v>
      </c>
      <c r="AB14" s="6">
        <f>IF(OR(Table5[[#This Row],[$ TB/year]]="",Table5[[#This Row],[Energy$yearPerTB]]=""),"",Table5[[#This Row],[$ TB/year]]+Table5[[#This Row],[Energy$yearPerTB]])</f>
        <v>18.841950000000001</v>
      </c>
      <c r="AC14" s="155">
        <f>10*2.9</f>
        <v>29</v>
      </c>
      <c r="AD14" s="156">
        <f>10*3.6</f>
        <v>36</v>
      </c>
      <c r="AE14" s="40"/>
    </row>
    <row r="15" spans="1:31" x14ac:dyDescent="0.25">
      <c r="A15" s="1">
        <v>43463</v>
      </c>
      <c r="B15" t="s">
        <v>15</v>
      </c>
      <c r="C15" s="95" t="s">
        <v>133</v>
      </c>
      <c r="D15" s="27" t="s">
        <v>49</v>
      </c>
      <c r="E15" s="81">
        <v>3.5</v>
      </c>
      <c r="F15" s="69">
        <v>4</v>
      </c>
      <c r="G15" s="42">
        <v>7200</v>
      </c>
      <c r="H15" s="5">
        <v>4.16</v>
      </c>
      <c r="I15" s="5">
        <v>8</v>
      </c>
      <c r="J15" s="61">
        <f>(Table5[[#This Row],[RPM]]/5400-1)</f>
        <v>0.33333333333333326</v>
      </c>
      <c r="K15" s="45">
        <v>192</v>
      </c>
      <c r="L15">
        <v>5</v>
      </c>
      <c r="M15" s="36">
        <v>600000</v>
      </c>
      <c r="O15" s="36">
        <v>2000000</v>
      </c>
      <c r="P15" s="35">
        <v>1000000000000000</v>
      </c>
      <c r="Q15" s="53"/>
      <c r="R15" s="5">
        <v>9.1</v>
      </c>
      <c r="S15" s="5">
        <v>7.1</v>
      </c>
      <c r="T15" s="107"/>
      <c r="U15" s="110">
        <f>(((Table5[[#This Row],[Watts Active]]*Power_On_Hours_Year/1000)*Active_Duty_Cycle)+((Table5[[#This Row],[Watts Idle]]*Power_On_Hours_Year/1000)*(100%-Active_Duty_Cycle)))*CostPerKWH</f>
        <v>8.2179000000000002</v>
      </c>
      <c r="V15" s="110">
        <f>Table5[Energy$year]/Table5[[#This Row],[SizTB]]</f>
        <v>2.0544750000000001</v>
      </c>
      <c r="W15" s="116">
        <v>219.62</v>
      </c>
      <c r="X15" s="6">
        <f>IF(Table5[[#This Row],[Cost]],Table5[[#This Row],[Cost]]/Table5[[#This Row],[SizTB]]*Exchange_Rate,"")</f>
        <v>54.905000000000001</v>
      </c>
      <c r="Y15" s="145">
        <f>Table5[[#This Row],[Cost]]+((CompareWarrYrs-Table5[[#This Row],[Warranty]])*(Incremental_Warr_Yr*Table5[[#This Row],[Cost]]))*Exchange_Rate</f>
        <v>219.62</v>
      </c>
      <c r="Z15" s="6">
        <f>IF(Table5[[#This Row],[$+Warr]],Table5[[#This Row],[$+Warr]]/Table5[[#This Row],[SizTB]],"")</f>
        <v>54.905000000000001</v>
      </c>
      <c r="AA15" s="6">
        <f>IFERROR(Table5[[#This Row],[$PerTB]]/CompareWarrYrs,"")</f>
        <v>10.981</v>
      </c>
      <c r="AB15" s="6">
        <f>IF(OR(Table5[[#This Row],[$ TB/year]]="",Table5[[#This Row],[Energy$yearPerTB]]=""),"",Table5[[#This Row],[$ TB/year]]+Table5[[#This Row],[Energy$yearPerTB]])</f>
        <v>13.035475</v>
      </c>
      <c r="AC15" s="155">
        <f t="shared" ref="AC15:AC17" si="2">10*2.9</f>
        <v>29</v>
      </c>
      <c r="AD15" s="156">
        <f t="shared" ref="AD15:AD17" si="3">10*3.6</f>
        <v>36</v>
      </c>
      <c r="AE15" s="40"/>
    </row>
    <row r="16" spans="1:31" x14ac:dyDescent="0.25">
      <c r="A16" s="1">
        <v>43053</v>
      </c>
      <c r="B16" t="s">
        <v>15</v>
      </c>
      <c r="C16" s="95" t="s">
        <v>133</v>
      </c>
      <c r="D16" s="27" t="s">
        <v>49</v>
      </c>
      <c r="E16" s="81">
        <v>3.5</v>
      </c>
      <c r="F16" s="69">
        <v>5</v>
      </c>
      <c r="G16" s="42">
        <v>7200</v>
      </c>
      <c r="H16" s="5">
        <v>4.16</v>
      </c>
      <c r="I16" s="5">
        <v>8</v>
      </c>
      <c r="J16" s="61">
        <f>(Table5[[#This Row],[RPM]]/5400-1)</f>
        <v>0.33333333333333326</v>
      </c>
      <c r="K16" s="45">
        <v>192</v>
      </c>
      <c r="L16">
        <v>5</v>
      </c>
      <c r="M16" s="36">
        <v>600000</v>
      </c>
      <c r="O16" s="36">
        <v>2000000</v>
      </c>
      <c r="P16" s="35">
        <v>1000000000000000</v>
      </c>
      <c r="Q16" s="53"/>
      <c r="R16" s="5">
        <v>9.1</v>
      </c>
      <c r="S16" s="5">
        <v>7.1</v>
      </c>
      <c r="T16" s="107"/>
      <c r="U16" s="110">
        <f>(((Table5[[#This Row],[Watts Active]]*Power_On_Hours_Year/1000)*Active_Duty_Cycle)+((Table5[[#This Row],[Watts Idle]]*Power_On_Hours_Year/1000)*(100%-Active_Duty_Cycle)))*CostPerKWH</f>
        <v>8.2179000000000002</v>
      </c>
      <c r="V16" s="110">
        <f>Table5[Energy$year]/Table5[[#This Row],[SizTB]]</f>
        <v>1.64358</v>
      </c>
      <c r="W16" s="116">
        <v>281.95999999999998</v>
      </c>
      <c r="X16" s="6">
        <f>IF(Table5[[#This Row],[Cost]],Table5[[#This Row],[Cost]]/Table5[[#This Row],[SizTB]]*Exchange_Rate,"")</f>
        <v>56.391999999999996</v>
      </c>
      <c r="Y16" s="145">
        <f>Table5[[#This Row],[Cost]]+((CompareWarrYrs-Table5[[#This Row],[Warranty]])*(Incremental_Warr_Yr*Table5[[#This Row],[Cost]]))*Exchange_Rate</f>
        <v>281.95999999999998</v>
      </c>
      <c r="Z16" s="6">
        <f>IF(Table5[[#This Row],[$+Warr]],Table5[[#This Row],[$+Warr]]/Table5[[#This Row],[SizTB]],"")</f>
        <v>56.391999999999996</v>
      </c>
      <c r="AA16" s="6">
        <f>IFERROR(Table5[[#This Row],[$PerTB]]/CompareWarrYrs,"")</f>
        <v>11.2784</v>
      </c>
      <c r="AB16" s="6">
        <f>IF(OR(Table5[[#This Row],[$ TB/year]]="",Table5[[#This Row],[Energy$yearPerTB]]=""),"",Table5[[#This Row],[$ TB/year]]+Table5[[#This Row],[Energy$yearPerTB]])</f>
        <v>12.92198</v>
      </c>
      <c r="AC16" s="155">
        <f t="shared" si="2"/>
        <v>29</v>
      </c>
      <c r="AD16" s="156">
        <f t="shared" si="3"/>
        <v>36</v>
      </c>
      <c r="AE16" s="40"/>
    </row>
    <row r="17" spans="1:31" x14ac:dyDescent="0.25">
      <c r="A17" s="1">
        <v>43463</v>
      </c>
      <c r="B17" t="s">
        <v>15</v>
      </c>
      <c r="C17" s="95" t="s">
        <v>133</v>
      </c>
      <c r="D17" s="27" t="s">
        <v>49</v>
      </c>
      <c r="E17" s="81">
        <v>3.5</v>
      </c>
      <c r="F17" s="69">
        <v>6</v>
      </c>
      <c r="G17" s="42">
        <v>7200</v>
      </c>
      <c r="H17" s="5">
        <v>4.16</v>
      </c>
      <c r="I17" s="5">
        <v>8</v>
      </c>
      <c r="J17" s="61">
        <f>(Table5[[#This Row],[RPM]]/5400-1)</f>
        <v>0.33333333333333326</v>
      </c>
      <c r="K17" s="45">
        <v>216</v>
      </c>
      <c r="L17">
        <v>5</v>
      </c>
      <c r="M17" s="36">
        <v>600000</v>
      </c>
      <c r="O17" s="36">
        <v>2000000</v>
      </c>
      <c r="P17" s="35">
        <v>1000000000000000</v>
      </c>
      <c r="Q17" s="53"/>
      <c r="R17" s="5">
        <v>9.1</v>
      </c>
      <c r="S17" s="5">
        <v>7.1</v>
      </c>
      <c r="T17" s="107"/>
      <c r="U17" s="110">
        <f>(((Table5[[#This Row],[Watts Active]]*Power_On_Hours_Year/1000)*Active_Duty_Cycle)+((Table5[[#This Row],[Watts Idle]]*Power_On_Hours_Year/1000)*(100%-Active_Duty_Cycle)))*CostPerKWH</f>
        <v>8.2179000000000002</v>
      </c>
      <c r="V17" s="110">
        <f>Table5[Energy$year]/Table5[[#This Row],[SizTB]]</f>
        <v>1.36965</v>
      </c>
      <c r="W17" s="116">
        <f>262.4+9.95</f>
        <v>272.34999999999997</v>
      </c>
      <c r="X17" s="6">
        <f>IF(Table5[[#This Row],[Cost]],Table5[[#This Row],[Cost]]/Table5[[#This Row],[SizTB]]*Exchange_Rate,"")</f>
        <v>45.391666666666659</v>
      </c>
      <c r="Y17" s="145">
        <f>Table5[[#This Row],[Cost]]+((CompareWarrYrs-Table5[[#This Row],[Warranty]])*(Incremental_Warr_Yr*Table5[[#This Row],[Cost]]))*Exchange_Rate</f>
        <v>272.34999999999997</v>
      </c>
      <c r="Z17" s="6">
        <f>IF(Table5[[#This Row],[$+Warr]],Table5[[#This Row],[$+Warr]]/Table5[[#This Row],[SizTB]],"")</f>
        <v>45.391666666666659</v>
      </c>
      <c r="AA17" s="6">
        <f>IFERROR(Table5[[#This Row],[$PerTB]]/CompareWarrYrs,"")</f>
        <v>9.0783333333333314</v>
      </c>
      <c r="AB17" s="6">
        <f>IF(OR(Table5[[#This Row],[$ TB/year]]="",Table5[[#This Row],[Energy$yearPerTB]]=""),"",Table5[[#This Row],[$ TB/year]]+Table5[[#This Row],[Energy$yearPerTB]])</f>
        <v>10.447983333333331</v>
      </c>
      <c r="AC17" s="155">
        <f t="shared" si="2"/>
        <v>29</v>
      </c>
      <c r="AD17" s="156">
        <f t="shared" si="3"/>
        <v>36</v>
      </c>
      <c r="AE17" s="40"/>
    </row>
    <row r="18" spans="1:31" x14ac:dyDescent="0.25">
      <c r="A18" s="1">
        <v>43033</v>
      </c>
      <c r="B18" t="s">
        <v>15</v>
      </c>
      <c r="C18" s="95" t="s">
        <v>117</v>
      </c>
      <c r="D18" s="27" t="s">
        <v>108</v>
      </c>
      <c r="E18" s="81">
        <v>3.5</v>
      </c>
      <c r="F18" s="69">
        <v>8</v>
      </c>
      <c r="G18" s="42">
        <v>7200</v>
      </c>
      <c r="H18" s="5">
        <v>4.16</v>
      </c>
      <c r="I18" s="5">
        <v>8.5</v>
      </c>
      <c r="J18" s="61">
        <f>(Table5[[#This Row],[RPM]]/5400-1)</f>
        <v>0.33333333333333326</v>
      </c>
      <c r="K18" s="45">
        <v>157</v>
      </c>
      <c r="L18">
        <v>5</v>
      </c>
      <c r="M18" s="36">
        <v>600000</v>
      </c>
      <c r="O18" s="36">
        <v>2000000</v>
      </c>
      <c r="P18" s="35">
        <v>1000000000000000</v>
      </c>
      <c r="Q18" s="53"/>
      <c r="R18" s="5">
        <v>7.6</v>
      </c>
      <c r="S18" s="5">
        <v>5.0999999999999996</v>
      </c>
      <c r="T18" s="107"/>
      <c r="U18" s="110">
        <f>(((Table5[[#This Row],[Watts Active]]*Power_On_Hours_Year/1000)*Active_Duty_Cycle)+((Table5[[#This Row],[Watts Idle]]*Power_On_Hours_Year/1000)*(100%-Active_Duty_Cycle)))*CostPerKWH</f>
        <v>6.1360319999999993</v>
      </c>
      <c r="V18" s="110">
        <f>Table5[Energy$year]/Table5[[#This Row],[SizTB]]</f>
        <v>0.76700399999999991</v>
      </c>
      <c r="W18" s="116">
        <v>373</v>
      </c>
      <c r="X18" s="6">
        <f>IF(Table5[[#This Row],[Cost]],Table5[[#This Row],[Cost]]/Table5[[#This Row],[SizTB]]*Exchange_Rate,"")</f>
        <v>46.625</v>
      </c>
      <c r="Y18" s="145">
        <f>Table5[[#This Row],[Cost]]+((CompareWarrYrs-Table5[[#This Row],[Warranty]])*(Incremental_Warr_Yr*Table5[[#This Row],[Cost]]))*Exchange_Rate</f>
        <v>373</v>
      </c>
      <c r="Z18" s="6">
        <f>IF(Table5[[#This Row],[$+Warr]],Table5[[#This Row],[$+Warr]]/Table5[[#This Row],[SizTB]],"")</f>
        <v>46.625</v>
      </c>
      <c r="AA18" s="6">
        <f>IFERROR(Table5[[#This Row],[$PerTB]]/CompareWarrYrs,"")</f>
        <v>9.3249999999999993</v>
      </c>
      <c r="AB18" s="6">
        <f>IF(OR(Table5[[#This Row],[$ TB/year]]="",Table5[[#This Row],[Energy$yearPerTB]]=""),"",Table5[[#This Row],[$ TB/year]]+Table5[[#This Row],[Energy$yearPerTB]])</f>
        <v>10.092003999999999</v>
      </c>
      <c r="AC18" s="155"/>
      <c r="AD18" s="156"/>
      <c r="AE18" s="102" t="s">
        <v>95</v>
      </c>
    </row>
    <row r="19" spans="1:31" x14ac:dyDescent="0.25">
      <c r="A19" s="1">
        <v>43463</v>
      </c>
      <c r="B19" t="s">
        <v>15</v>
      </c>
      <c r="C19" s="95" t="s">
        <v>145</v>
      </c>
      <c r="D19" s="106" t="s">
        <v>49</v>
      </c>
      <c r="E19" s="81">
        <v>2.5</v>
      </c>
      <c r="F19" s="69">
        <v>0.9</v>
      </c>
      <c r="G19" s="42">
        <v>10520</v>
      </c>
      <c r="H19" s="5">
        <v>2.85</v>
      </c>
      <c r="I19" s="5">
        <v>8.5</v>
      </c>
      <c r="J19" s="61">
        <f>(Table5[[#This Row],[RPM]]/5400-1)</f>
        <v>0.94814814814814818</v>
      </c>
      <c r="K19" s="45">
        <v>224</v>
      </c>
      <c r="L19">
        <v>5</v>
      </c>
      <c r="M19" s="36"/>
      <c r="O19" s="36">
        <v>2000000</v>
      </c>
      <c r="P19" s="35">
        <v>1E+16</v>
      </c>
      <c r="Q19" s="53"/>
      <c r="R19" s="5">
        <v>6.5</v>
      </c>
      <c r="S19" s="5">
        <v>4.7</v>
      </c>
      <c r="T19" s="107"/>
      <c r="U19" s="110">
        <f>(((Table5[[#This Row],[Watts Active]]*Power_On_Hours_Year/1000)*Active_Duty_Cycle)+((Table5[[#This Row],[Watts Idle]]*Power_On_Hours_Year/1000)*(100%-Active_Duty_Cycle)))*CostPerKWH</f>
        <v>5.5443432000000001</v>
      </c>
      <c r="V19" s="110">
        <f>Table5[Energy$year]/Table5[[#This Row],[SizTB]]</f>
        <v>6.1603813333333335</v>
      </c>
      <c r="W19" s="116">
        <v>169.99</v>
      </c>
      <c r="X19" s="6">
        <f>IF(Table5[[#This Row],[Cost]],Table5[[#This Row],[Cost]]/Table5[[#This Row],[SizTB]]*Exchange_Rate,"")</f>
        <v>188.87777777777779</v>
      </c>
      <c r="Y19" s="145">
        <f>Table5[[#This Row],[Cost]]+((CompareWarrYrs-Table5[[#This Row],[Warranty]])*(Incremental_Warr_Yr*Table5[[#This Row],[Cost]]))*Exchange_Rate</f>
        <v>169.99</v>
      </c>
      <c r="Z19" s="6">
        <f>IF(Table5[[#This Row],[$+Warr]],Table5[[#This Row],[$+Warr]]/Table5[[#This Row],[SizTB]],"")</f>
        <v>188.87777777777779</v>
      </c>
      <c r="AA19" s="6">
        <f>IFERROR(Table5[[#This Row],[$PerTB]]/CompareWarrYrs,"")</f>
        <v>37.775555555555556</v>
      </c>
      <c r="AB19" s="6">
        <f>IF(OR(Table5[[#This Row],[$ TB/year]]="",Table5[[#This Row],[Energy$yearPerTB]]=""),"",Table5[[#This Row],[$ TB/year]]+Table5[[#This Row],[Energy$yearPerTB]])</f>
        <v>43.935936888888889</v>
      </c>
      <c r="AC19" s="155"/>
      <c r="AD19" s="156"/>
      <c r="AE19" s="40"/>
    </row>
    <row r="20" spans="1:31" x14ac:dyDescent="0.25">
      <c r="A20" s="1">
        <v>43463</v>
      </c>
      <c r="B20" t="s">
        <v>15</v>
      </c>
      <c r="C20" s="95" t="s">
        <v>96</v>
      </c>
      <c r="D20" s="94" t="s">
        <v>49</v>
      </c>
      <c r="E20" s="81">
        <v>2.5</v>
      </c>
      <c r="F20" s="69">
        <v>1.2</v>
      </c>
      <c r="G20" s="42">
        <v>10520</v>
      </c>
      <c r="H20" s="5">
        <v>2.85</v>
      </c>
      <c r="I20" s="5">
        <v>8.5</v>
      </c>
      <c r="J20" s="61">
        <f>(Table5[[#This Row],[RPM]]/5400-1)</f>
        <v>0.94814814814814818</v>
      </c>
      <c r="K20" s="45">
        <v>224</v>
      </c>
      <c r="L20">
        <v>5</v>
      </c>
      <c r="M20" s="36"/>
      <c r="O20" s="36">
        <v>2000000</v>
      </c>
      <c r="P20" s="35">
        <v>1E+16</v>
      </c>
      <c r="Q20" s="53"/>
      <c r="R20" s="5">
        <v>6.5</v>
      </c>
      <c r="S20" s="5">
        <v>4.7</v>
      </c>
      <c r="T20" s="107"/>
      <c r="U20" s="110">
        <f>(((Table5[[#This Row],[Watts Active]]*Power_On_Hours_Year/1000)*Active_Duty_Cycle)+((Table5[[#This Row],[Watts Idle]]*Power_On_Hours_Year/1000)*(100%-Active_Duty_Cycle)))*CostPerKWH</f>
        <v>5.5443432000000001</v>
      </c>
      <c r="V20" s="110">
        <f>Table5[Energy$year]/Table5[[#This Row],[SizTB]]</f>
        <v>4.6202860000000001</v>
      </c>
      <c r="W20" s="116">
        <v>263.83999999999997</v>
      </c>
      <c r="X20" s="6">
        <f>IF(Table5[[#This Row],[Cost]],Table5[[#This Row],[Cost]]/Table5[[#This Row],[SizTB]]*Exchange_Rate,"")</f>
        <v>219.86666666666665</v>
      </c>
      <c r="Y20" s="145">
        <f>Table5[[#This Row],[Cost]]+((CompareWarrYrs-Table5[[#This Row],[Warranty]])*(Incremental_Warr_Yr*Table5[[#This Row],[Cost]]))*Exchange_Rate</f>
        <v>263.83999999999997</v>
      </c>
      <c r="Z20" s="6">
        <f>IF(Table5[[#This Row],[$+Warr]],Table5[[#This Row],[$+Warr]]/Table5[[#This Row],[SizTB]],"")</f>
        <v>219.86666666666665</v>
      </c>
      <c r="AA20" s="6">
        <f>IFERROR(Table5[[#This Row],[$PerTB]]/CompareWarrYrs,"")</f>
        <v>43.973333333333329</v>
      </c>
      <c r="AB20" s="6">
        <f>IF(OR(Table5[[#This Row],[$ TB/year]]="",Table5[[#This Row],[Energy$yearPerTB]]=""),"",Table5[[#This Row],[$ TB/year]]+Table5[[#This Row],[Energy$yearPerTB]])</f>
        <v>48.593619333333329</v>
      </c>
      <c r="AC20" s="155"/>
      <c r="AD20" s="156"/>
      <c r="AE20" s="40"/>
    </row>
    <row r="21" spans="1:31" x14ac:dyDescent="0.25">
      <c r="A21" s="1">
        <v>43463</v>
      </c>
      <c r="B21" t="s">
        <v>15</v>
      </c>
      <c r="C21" s="95" t="s">
        <v>85</v>
      </c>
      <c r="D21" s="94" t="s">
        <v>49</v>
      </c>
      <c r="E21" s="81">
        <v>2.5</v>
      </c>
      <c r="F21" s="69">
        <v>1.8</v>
      </c>
      <c r="G21" s="42">
        <v>10520</v>
      </c>
      <c r="H21" s="5">
        <v>2.85</v>
      </c>
      <c r="I21" s="5">
        <v>8.5</v>
      </c>
      <c r="J21" s="61">
        <f>(Table5[[#This Row],[RPM]]/5400-1)</f>
        <v>0.94814814814814818</v>
      </c>
      <c r="K21" s="45">
        <v>224</v>
      </c>
      <c r="L21">
        <v>5</v>
      </c>
      <c r="M21" s="36"/>
      <c r="O21" s="36">
        <v>2000000</v>
      </c>
      <c r="P21" s="35">
        <v>1E+16</v>
      </c>
      <c r="Q21" s="53"/>
      <c r="R21" s="5">
        <v>6.6</v>
      </c>
      <c r="S21" s="5">
        <v>4.7</v>
      </c>
      <c r="T21" s="107"/>
      <c r="U21" s="110">
        <f>(((Table5[[#This Row],[Watts Active]]*Power_On_Hours_Year/1000)*Active_Duty_Cycle)+((Table5[[#This Row],[Watts Idle]]*Power_On_Hours_Year/1000)*(100%-Active_Duty_Cycle)))*CostPerKWH</f>
        <v>5.5662576000000001</v>
      </c>
      <c r="V21" s="110">
        <f>Table5[Energy$year]/Table5[[#This Row],[SizTB]]</f>
        <v>3.0923653333333334</v>
      </c>
      <c r="W21" s="116">
        <v>284.95</v>
      </c>
      <c r="X21" s="6">
        <f>IF(Table5[[#This Row],[Cost]],Table5[[#This Row],[Cost]]/Table5[[#This Row],[SizTB]]*Exchange_Rate,"")</f>
        <v>158.30555555555554</v>
      </c>
      <c r="Y21" s="145">
        <f>Table5[[#This Row],[Cost]]+((CompareWarrYrs-Table5[[#This Row],[Warranty]])*(Incremental_Warr_Yr*Table5[[#This Row],[Cost]]))*Exchange_Rate</f>
        <v>284.95</v>
      </c>
      <c r="Z21" s="6">
        <f>IF(Table5[[#This Row],[$+Warr]],Table5[[#This Row],[$+Warr]]/Table5[[#This Row],[SizTB]],"")</f>
        <v>158.30555555555554</v>
      </c>
      <c r="AA21" s="6">
        <f>IFERROR(Table5[[#This Row],[$PerTB]]/CompareWarrYrs,"")</f>
        <v>31.661111111111108</v>
      </c>
      <c r="AB21" s="6">
        <f>IF(OR(Table5[[#This Row],[$ TB/year]]="",Table5[[#This Row],[Energy$yearPerTB]]=""),"",Table5[[#This Row],[$ TB/year]]+Table5[[#This Row],[Energy$yearPerTB]])</f>
        <v>34.753476444444445</v>
      </c>
      <c r="AC21" s="155"/>
      <c r="AD21" s="156"/>
      <c r="AE21" s="40"/>
    </row>
    <row r="22" spans="1:31" x14ac:dyDescent="0.25">
      <c r="A22" s="1">
        <v>43463</v>
      </c>
      <c r="B22" t="s">
        <v>15</v>
      </c>
      <c r="C22" s="95" t="s">
        <v>86</v>
      </c>
      <c r="D22" s="94" t="s">
        <v>49</v>
      </c>
      <c r="E22" s="81">
        <v>2.5</v>
      </c>
      <c r="F22" s="69">
        <v>0.6</v>
      </c>
      <c r="G22" s="42">
        <v>15030</v>
      </c>
      <c r="H22" s="5">
        <v>1.99</v>
      </c>
      <c r="I22" s="5">
        <v>8.5</v>
      </c>
      <c r="J22" s="61">
        <f>(Table5[[#This Row],[RPM]]/5400-1)</f>
        <v>1.7833333333333332</v>
      </c>
      <c r="K22" s="45">
        <v>250</v>
      </c>
      <c r="L22">
        <v>5</v>
      </c>
      <c r="M22" s="36"/>
      <c r="O22" s="36">
        <v>2000000</v>
      </c>
      <c r="P22" s="35">
        <v>1E+17</v>
      </c>
      <c r="Q22" s="53"/>
      <c r="R22" s="5">
        <v>7.5</v>
      </c>
      <c r="S22" s="5">
        <v>5.8</v>
      </c>
      <c r="T22" s="107"/>
      <c r="U22" s="110">
        <f>(((Table5[[#This Row],[Watts Active]]*Power_On_Hours_Year/1000)*Active_Duty_Cycle)+((Table5[[#This Row],[Watts Idle]]*Power_On_Hours_Year/1000)*(100%-Active_Duty_Cycle)))*CostPerKWH</f>
        <v>6.7277208000000002</v>
      </c>
      <c r="V22" s="110">
        <f>Table5[Energy$year]/Table5[[#This Row],[SizTB]]</f>
        <v>11.212868</v>
      </c>
      <c r="W22" s="116">
        <v>205.54</v>
      </c>
      <c r="X22" s="6">
        <f>IF(Table5[[#This Row],[Cost]],Table5[[#This Row],[Cost]]/Table5[[#This Row],[SizTB]]*Exchange_Rate,"")</f>
        <v>342.56666666666666</v>
      </c>
      <c r="Y22" s="145">
        <f>Table5[[#This Row],[Cost]]+((CompareWarrYrs-Table5[[#This Row],[Warranty]])*(Incremental_Warr_Yr*Table5[[#This Row],[Cost]]))*Exchange_Rate</f>
        <v>205.54</v>
      </c>
      <c r="Z22" s="6">
        <f>IF(Table5[[#This Row],[$+Warr]],Table5[[#This Row],[$+Warr]]/Table5[[#This Row],[SizTB]],"")</f>
        <v>342.56666666666666</v>
      </c>
      <c r="AA22" s="6">
        <f>IFERROR(Table5[[#This Row],[$PerTB]]/CompareWarrYrs,"")</f>
        <v>68.513333333333335</v>
      </c>
      <c r="AB22" s="6">
        <f>IF(OR(Table5[[#This Row],[$ TB/year]]="",Table5[[#This Row],[Energy$yearPerTB]]=""),"",Table5[[#This Row],[$ TB/year]]+Table5[[#This Row],[Energy$yearPerTB]])</f>
        <v>79.726201333333336</v>
      </c>
      <c r="AC22" s="155"/>
      <c r="AD22" s="156"/>
      <c r="AE22" s="102" t="s">
        <v>121</v>
      </c>
    </row>
    <row r="23" spans="1:31" x14ac:dyDescent="0.25">
      <c r="A23" s="1">
        <v>43284</v>
      </c>
      <c r="B23" t="s">
        <v>15</v>
      </c>
      <c r="C23" s="95" t="s">
        <v>118</v>
      </c>
      <c r="D23" s="27" t="s">
        <v>49</v>
      </c>
      <c r="E23" s="81">
        <v>3.5</v>
      </c>
      <c r="F23" s="69">
        <v>6</v>
      </c>
      <c r="G23" s="42">
        <v>7200</v>
      </c>
      <c r="H23" s="5">
        <v>4.16</v>
      </c>
      <c r="I23" s="5">
        <v>8.5</v>
      </c>
      <c r="J23" s="61">
        <f>(Table5[[#This Row],[RPM]]/5400-1)</f>
        <v>0.33333333333333326</v>
      </c>
      <c r="K23" s="45">
        <v>195</v>
      </c>
      <c r="L23">
        <v>5</v>
      </c>
      <c r="M23" s="36">
        <v>600000</v>
      </c>
      <c r="N23">
        <v>550</v>
      </c>
      <c r="O23" s="36">
        <v>2500000</v>
      </c>
      <c r="P23" s="35">
        <v>1000000000000000</v>
      </c>
      <c r="Q23" s="53"/>
      <c r="R23" s="5">
        <v>7.4</v>
      </c>
      <c r="S23" s="5">
        <v>5.0999999999999996</v>
      </c>
      <c r="T23" s="107"/>
      <c r="U23" s="110">
        <f>(((Table5[[#This Row],[Watts Active]]*Power_On_Hours_Year/1000)*Active_Duty_Cycle)+((Table5[[#This Row],[Watts Idle]]*Power_On_Hours_Year/1000)*(100%-Active_Duty_Cycle)))*CostPerKWH</f>
        <v>6.0922031999999993</v>
      </c>
      <c r="V23" s="110">
        <f>Table5[Energy$year]/Table5[[#This Row],[SizTB]]</f>
        <v>1.0153671999999998</v>
      </c>
      <c r="W23" s="116">
        <f>313.6+12.95</f>
        <v>326.55</v>
      </c>
      <c r="X23" s="6">
        <f>IF(Table5[[#This Row],[Cost]],Table5[[#This Row],[Cost]]/Table5[[#This Row],[SizTB]]*Exchange_Rate,"")</f>
        <v>54.425000000000004</v>
      </c>
      <c r="Y23" s="145">
        <f>Table5[[#This Row],[Cost]]+((CompareWarrYrs-Table5[[#This Row],[Warranty]])*(Incremental_Warr_Yr*Table5[[#This Row],[Cost]]))*Exchange_Rate</f>
        <v>326.55</v>
      </c>
      <c r="Z23" s="6">
        <f>IF(Table5[[#This Row],[$+Warr]],Table5[[#This Row],[$+Warr]]/Table5[[#This Row],[SizTB]],"")</f>
        <v>54.425000000000004</v>
      </c>
      <c r="AA23" s="6">
        <f>IFERROR(Table5[[#This Row],[$PerTB]]/CompareWarrYrs,"")</f>
        <v>10.885000000000002</v>
      </c>
      <c r="AB23" s="6">
        <f>IF(OR(Table5[[#This Row],[$ TB/year]]="",Table5[[#This Row],[Energy$yearPerTB]]=""),"",Table5[[#This Row],[$ TB/year]]+Table5[[#This Row],[Energy$yearPerTB]])</f>
        <v>11.900367200000002</v>
      </c>
      <c r="AC23" s="155">
        <v>20</v>
      </c>
      <c r="AD23" s="156"/>
      <c r="AE23" s="102" t="s">
        <v>37</v>
      </c>
    </row>
    <row r="24" spans="1:31" x14ac:dyDescent="0.25">
      <c r="A24" s="1">
        <v>43482</v>
      </c>
      <c r="B24" t="s">
        <v>15</v>
      </c>
      <c r="C24" s="95" t="s">
        <v>148</v>
      </c>
      <c r="D24" s="27" t="s">
        <v>49</v>
      </c>
      <c r="E24" s="81">
        <v>3.5</v>
      </c>
      <c r="F24" s="69">
        <v>8</v>
      </c>
      <c r="G24" s="42">
        <v>7200</v>
      </c>
      <c r="H24" s="5">
        <v>4.16</v>
      </c>
      <c r="I24" s="5">
        <v>8.5</v>
      </c>
      <c r="J24" s="61">
        <f>(Table5[[#This Row],[RPM]]/5400-1)</f>
        <v>0.33333333333333326</v>
      </c>
      <c r="K24" s="45">
        <v>237</v>
      </c>
      <c r="L24">
        <v>5</v>
      </c>
      <c r="M24" s="36">
        <v>600000</v>
      </c>
      <c r="N24">
        <v>550</v>
      </c>
      <c r="O24" s="36">
        <v>2500000</v>
      </c>
      <c r="P24" s="35">
        <v>1000000000000000</v>
      </c>
      <c r="Q24" s="53"/>
      <c r="R24" s="5">
        <v>7.4</v>
      </c>
      <c r="S24" s="5">
        <v>5.0999999999999996</v>
      </c>
      <c r="T24" s="107"/>
      <c r="U24" s="110">
        <f>(((Table5[[#This Row],[Watts Active]]*Power_On_Hours_Year/1000)*Active_Duty_Cycle)+((Table5[[#This Row],[Watts Idle]]*Power_On_Hours_Year/1000)*(100%-Active_Duty_Cycle)))*CostPerKWH</f>
        <v>6.0922031999999993</v>
      </c>
      <c r="V24" s="110">
        <f>Table5[Energy$year]/Table5[[#This Row],[SizTB]]</f>
        <v>0.76152539999999991</v>
      </c>
      <c r="W24" s="116">
        <v>298</v>
      </c>
      <c r="X24" s="6">
        <f>IF(Table5[[#This Row],[Cost]],Table5[[#This Row],[Cost]]/Table5[[#This Row],[SizTB]]*Exchange_Rate,"")</f>
        <v>37.25</v>
      </c>
      <c r="Y24" s="145">
        <f>Table5[[#This Row],[Cost]]+((CompareWarrYrs-Table5[[#This Row],[Warranty]])*(Incremental_Warr_Yr*Table5[[#This Row],[Cost]]))*Exchange_Rate</f>
        <v>298</v>
      </c>
      <c r="Z24" s="6">
        <f>IF(Table5[[#This Row],[$+Warr]],Table5[[#This Row],[$+Warr]]/Table5[[#This Row],[SizTB]],"")</f>
        <v>37.25</v>
      </c>
      <c r="AA24" s="6">
        <f>IFERROR(Table5[[#This Row],[$PerTB]]/CompareWarrYrs,"")</f>
        <v>7.45</v>
      </c>
      <c r="AB24" s="6">
        <f>IF(OR(Table5[[#This Row],[$ TB/year]]="",Table5[[#This Row],[Energy$yearPerTB]]=""),"",Table5[[#This Row],[$ TB/year]]+Table5[[#This Row],[Energy$yearPerTB]])</f>
        <v>8.2115253999999993</v>
      </c>
      <c r="AC24" s="155">
        <v>20</v>
      </c>
      <c r="AD24" s="156">
        <v>36</v>
      </c>
      <c r="AE24" s="102" t="s">
        <v>120</v>
      </c>
    </row>
    <row r="25" spans="1:31" ht="17.25" x14ac:dyDescent="0.25">
      <c r="A25" s="1">
        <v>43482</v>
      </c>
      <c r="B25" t="s">
        <v>15</v>
      </c>
      <c r="C25" s="95" t="s">
        <v>110</v>
      </c>
      <c r="D25" s="27" t="s">
        <v>49</v>
      </c>
      <c r="E25" s="81">
        <v>3.5</v>
      </c>
      <c r="F25" s="69">
        <v>10</v>
      </c>
      <c r="G25" s="42">
        <v>7200</v>
      </c>
      <c r="H25" s="5">
        <v>4.16</v>
      </c>
      <c r="I25" s="5">
        <v>8.5</v>
      </c>
      <c r="J25" s="61">
        <f>(Table5[[#This Row],[RPM]]/5400-1)</f>
        <v>0.33333333333333326</v>
      </c>
      <c r="K25" s="45">
        <v>237</v>
      </c>
      <c r="L25">
        <v>5</v>
      </c>
      <c r="M25" s="36">
        <v>600000</v>
      </c>
      <c r="N25">
        <v>550</v>
      </c>
      <c r="O25" s="36">
        <v>2500000</v>
      </c>
      <c r="P25" s="35">
        <v>1000000000000000</v>
      </c>
      <c r="Q25" s="53"/>
      <c r="R25" s="5">
        <v>6.8</v>
      </c>
      <c r="S25" s="5">
        <v>5</v>
      </c>
      <c r="T25" s="107"/>
      <c r="U25" s="110">
        <f>(((Table5[[#This Row],[Watts Active]]*Power_On_Hours_Year/1000)*Active_Duty_Cycle)+((Table5[[#This Row],[Watts Idle]]*Power_On_Hours_Year/1000)*(100%-Active_Duty_Cycle)))*CostPerKWH</f>
        <v>5.8730592000000001</v>
      </c>
      <c r="V25" s="141">
        <f>Table5[Energy$year]/Table5[[#This Row],[SizTB]]</f>
        <v>0.58730592000000004</v>
      </c>
      <c r="W25" s="140">
        <v>409.99</v>
      </c>
      <c r="X25" s="6">
        <f>IF(Table5[[#This Row],[Cost]],Table5[[#This Row],[Cost]]/Table5[[#This Row],[SizTB]]*Exchange_Rate,"")</f>
        <v>40.999000000000002</v>
      </c>
      <c r="Y25" s="145">
        <f>Table5[[#This Row],[Cost]]+((CompareWarrYrs-Table5[[#This Row],[Warranty]])*(Incremental_Warr_Yr*Table5[[#This Row],[Cost]]))*Exchange_Rate</f>
        <v>409.99</v>
      </c>
      <c r="Z25" s="6">
        <f>IF(Table5[[#This Row],[$+Warr]],Table5[[#This Row],[$+Warr]]/Table5[[#This Row],[SizTB]],"")</f>
        <v>40.999000000000002</v>
      </c>
      <c r="AA25" s="6">
        <f>IFERROR(Table5[[#This Row],[$PerTB]]/CompareWarrYrs,"")</f>
        <v>8.1997999999999998</v>
      </c>
      <c r="AB25" s="6">
        <f>IF(OR(Table5[[#This Row],[$ TB/year]]="",Table5[[#This Row],[Energy$yearPerTB]]=""),"",Table5[[#This Row],[$ TB/year]]+Table5[[#This Row],[Energy$yearPerTB]])</f>
        <v>8.7871059200000001</v>
      </c>
      <c r="AC25" s="155">
        <v>20</v>
      </c>
      <c r="AD25" s="156">
        <v>36</v>
      </c>
      <c r="AE25" s="102" t="s">
        <v>37</v>
      </c>
    </row>
    <row r="26" spans="1:31" ht="17.25" x14ac:dyDescent="0.25">
      <c r="A26" s="1">
        <v>43563</v>
      </c>
      <c r="B26" t="s">
        <v>15</v>
      </c>
      <c r="C26" s="95" t="s">
        <v>109</v>
      </c>
      <c r="D26" s="92" t="s">
        <v>49</v>
      </c>
      <c r="E26" s="81">
        <v>3.5</v>
      </c>
      <c r="F26" s="69">
        <v>12</v>
      </c>
      <c r="G26" s="42">
        <v>7200</v>
      </c>
      <c r="H26" s="5">
        <v>4.16</v>
      </c>
      <c r="I26" s="5">
        <v>8.5</v>
      </c>
      <c r="J26" s="61">
        <f>(Table5[[#This Row],[RPM]]/5400-1)</f>
        <v>0.33333333333333326</v>
      </c>
      <c r="K26" s="45">
        <v>243</v>
      </c>
      <c r="L26">
        <v>5</v>
      </c>
      <c r="M26" s="36">
        <v>600000</v>
      </c>
      <c r="N26">
        <v>550</v>
      </c>
      <c r="O26" s="36">
        <v>2500000</v>
      </c>
      <c r="P26" s="35">
        <v>1000000000000000</v>
      </c>
      <c r="Q26" s="53"/>
      <c r="R26" s="5">
        <v>7.2</v>
      </c>
      <c r="S26" s="5">
        <v>5.3</v>
      </c>
      <c r="T26" s="107"/>
      <c r="U26" s="110">
        <f>(((Table5[[#This Row],[Watts Active]]*Power_On_Hours_Year/1000)*Active_Duty_Cycle)+((Table5[[#This Row],[Watts Idle]]*Power_On_Hours_Year/1000)*(100%-Active_Duty_Cycle)))*CostPerKWH</f>
        <v>6.2236896000000002</v>
      </c>
      <c r="V26" s="141">
        <f>Table5[Energy$year]/Table5[[#This Row],[SizTB]]</f>
        <v>0.51864080000000001</v>
      </c>
      <c r="W26" s="140">
        <v>531.69000000000005</v>
      </c>
      <c r="X26" s="6">
        <f>IF(Table5[[#This Row],[Cost]],Table5[[#This Row],[Cost]]/Table5[[#This Row],[SizTB]]*Exchange_Rate,"")</f>
        <v>44.307500000000005</v>
      </c>
      <c r="Y26" s="145">
        <f>Table5[[#This Row],[Cost]]+((CompareWarrYrs-Table5[[#This Row],[Warranty]])*(Incremental_Warr_Yr*Table5[[#This Row],[Cost]]))*Exchange_Rate</f>
        <v>531.69000000000005</v>
      </c>
      <c r="Z26" s="6">
        <f>IF(Table5[[#This Row],[$+Warr]],Table5[[#This Row],[$+Warr]]/Table5[[#This Row],[SizTB]],"")</f>
        <v>44.307500000000005</v>
      </c>
      <c r="AA26" s="6">
        <f>IFERROR(Table5[[#This Row],[$PerTB]]/CompareWarrYrs,"")</f>
        <v>8.8615000000000013</v>
      </c>
      <c r="AB26" s="6">
        <f>IF(OR(Table5[[#This Row],[$ TB/year]]="",Table5[[#This Row],[Energy$yearPerTB]]=""),"",Table5[[#This Row],[$ TB/year]]+Table5[[#This Row],[Energy$yearPerTB]])</f>
        <v>9.3801408000000013</v>
      </c>
      <c r="AC26" s="155">
        <v>20</v>
      </c>
      <c r="AD26" s="156">
        <v>36</v>
      </c>
      <c r="AE26" s="102" t="s">
        <v>37</v>
      </c>
    </row>
    <row r="27" spans="1:31" ht="18" thickBot="1" x14ac:dyDescent="0.3">
      <c r="A27" s="176">
        <v>43127</v>
      </c>
      <c r="B27" s="175" t="s">
        <v>15</v>
      </c>
      <c r="C27" s="177" t="s">
        <v>97</v>
      </c>
      <c r="D27" s="178" t="s">
        <v>108</v>
      </c>
      <c r="E27" s="189">
        <v>3.5</v>
      </c>
      <c r="F27" s="179">
        <v>14</v>
      </c>
      <c r="G27" s="180">
        <v>7200</v>
      </c>
      <c r="H27" s="136">
        <v>4.16</v>
      </c>
      <c r="I27" s="136">
        <v>8.5</v>
      </c>
      <c r="J27" s="181">
        <f>(Table5[[#This Row],[RPM]]/5400-1)</f>
        <v>0.33333333333333326</v>
      </c>
      <c r="K27" s="182">
        <v>223</v>
      </c>
      <c r="L27" s="175">
        <v>5</v>
      </c>
      <c r="M27" s="183">
        <v>600000</v>
      </c>
      <c r="N27" s="175">
        <v>550</v>
      </c>
      <c r="O27" s="183">
        <v>2500000</v>
      </c>
      <c r="P27" s="190">
        <v>1000000000000000</v>
      </c>
      <c r="Q27" s="191">
        <f>12*1.51+5*0.39</f>
        <v>20.07</v>
      </c>
      <c r="R27" s="136">
        <v>6.4</v>
      </c>
      <c r="S27" s="136">
        <v>5.2</v>
      </c>
      <c r="T27" s="185">
        <v>0.8</v>
      </c>
      <c r="U27" s="186">
        <f>(((Table5[[#This Row],[Watts Active]]*Power_On_Hours_Year/1000)*Active_Duty_Cycle)+((Table5[[#This Row],[Watts Idle]]*Power_On_Hours_Year/1000)*(100%-Active_Duty_Cycle)))*CostPerKWH</f>
        <v>5.960716800000001</v>
      </c>
      <c r="V27" s="142">
        <f>Table5[Energy$year]/Table5[[#This Row],[SizTB]]</f>
        <v>0.4257654857142858</v>
      </c>
      <c r="W27" s="187">
        <v>650</v>
      </c>
      <c r="X27" s="174">
        <f>IF(Table5[[#This Row],[Cost]],Table5[[#This Row],[Cost]]/Table5[[#This Row],[SizTB]]*Exchange_Rate,"")</f>
        <v>46.428571428571431</v>
      </c>
      <c r="Y27" s="149">
        <f>Table5[[#This Row],[Cost]]+((CompareWarrYrs-Table5[[#This Row],[Warranty]])*(Incremental_Warr_Yr*Table5[[#This Row],[Cost]]))*Exchange_Rate</f>
        <v>650</v>
      </c>
      <c r="Z27" s="148">
        <f>IF(Table5[[#This Row],[$+Warr]],Table5[[#This Row],[$+Warr]]/Table5[[#This Row],[SizTB]],"")</f>
        <v>46.428571428571431</v>
      </c>
      <c r="AA27" s="148">
        <f>IFERROR(Table5[[#This Row],[$PerTB]]/CompareWarrYrs,"")</f>
        <v>9.2857142857142865</v>
      </c>
      <c r="AB27" s="174">
        <f>IF(OR(Table5[[#This Row],[$ TB/year]]="",Table5[[#This Row],[Energy$yearPerTB]]=""),"",Table5[[#This Row],[$ TB/year]]+Table5[[#This Row],[Energy$yearPerTB]])</f>
        <v>9.7114797714285714</v>
      </c>
      <c r="AC27" s="164">
        <v>20</v>
      </c>
      <c r="AD27" s="165">
        <v>36</v>
      </c>
      <c r="AE27" s="192" t="s">
        <v>95</v>
      </c>
    </row>
    <row r="28" spans="1:31" ht="15.75" thickTop="1" x14ac:dyDescent="0.25">
      <c r="A28" s="103">
        <v>43064</v>
      </c>
      <c r="B28" s="7" t="s">
        <v>10</v>
      </c>
      <c r="C28" s="104" t="s">
        <v>132</v>
      </c>
      <c r="D28" s="82" t="s">
        <v>108</v>
      </c>
      <c r="E28" s="99">
        <v>3.5</v>
      </c>
      <c r="F28" s="138">
        <v>5</v>
      </c>
      <c r="G28" s="42">
        <v>5900</v>
      </c>
      <c r="H28" s="5"/>
      <c r="I28" s="5"/>
      <c r="J28" s="61">
        <f>(Table5[[#This Row],[RPM]]/5400-1)</f>
        <v>9.259259259259256E-2</v>
      </c>
      <c r="K28" s="45">
        <v>180</v>
      </c>
      <c r="L28" s="7">
        <v>3</v>
      </c>
      <c r="M28" s="105">
        <v>300000</v>
      </c>
      <c r="N28" s="7">
        <v>180</v>
      </c>
      <c r="O28" s="105">
        <v>800000</v>
      </c>
      <c r="P28" s="35">
        <f t="shared" ref="P28:P30" si="4">10^14</f>
        <v>100000000000000</v>
      </c>
      <c r="Q28" s="53">
        <v>24</v>
      </c>
      <c r="R28" s="5">
        <v>5.5</v>
      </c>
      <c r="S28" s="5">
        <v>3.5</v>
      </c>
      <c r="T28" s="107">
        <v>0.74</v>
      </c>
      <c r="U28" s="110">
        <f>(((Table5[[#This Row],[Watts Active]]*Power_On_Hours_Year/1000)*Active_Duty_Cycle)+((Table5[[#This Row],[Watts Idle]]*Power_On_Hours_Year/1000)*(100%-Active_Duty_Cycle)))*CostPerKWH</f>
        <v>4.2733080000000001</v>
      </c>
      <c r="V28" s="141">
        <f>Table5[Energy$year]/Table5[[#This Row],[SizTB]]</f>
        <v>0.85466160000000002</v>
      </c>
      <c r="W28" s="140">
        <v>212</v>
      </c>
      <c r="X28" s="6">
        <f>IF(Table5[[#This Row],[Cost]],Table5[[#This Row],[Cost]]/Table5[[#This Row],[SizTB]]*Exchange_Rate,"")</f>
        <v>42.4</v>
      </c>
      <c r="Y28" s="145">
        <f>Table5[[#This Row],[Cost]]+((CompareWarrYrs-Table5[[#This Row],[Warranty]])*(Incremental_Warr_Yr*Table5[[#This Row],[Cost]]))*Exchange_Rate</f>
        <v>258.64</v>
      </c>
      <c r="Z28" s="6">
        <f>IF(Table5[[#This Row],[$+Warr]],Table5[[#This Row],[$+Warr]]/Table5[[#This Row],[SizTB]],"")</f>
        <v>51.727999999999994</v>
      </c>
      <c r="AA28" s="6">
        <f>IFERROR(Table5[[#This Row],[$PerTB]]/CompareWarrYrs,"")</f>
        <v>10.345599999999999</v>
      </c>
      <c r="AB28" s="6">
        <f>IF(OR(Table5[[#This Row],[$ TB/year]]="",Table5[[#This Row],[Energy$yearPerTB]]=""),"",Table5[[#This Row],[$ TB/year]]+Table5[[#This Row],[Energy$yearPerTB]])</f>
        <v>11.200261599999999</v>
      </c>
      <c r="AC28" s="155"/>
      <c r="AD28" s="156"/>
      <c r="AE28" s="102"/>
    </row>
    <row r="29" spans="1:31" x14ac:dyDescent="0.25">
      <c r="A29" s="103">
        <v>43064</v>
      </c>
      <c r="B29" s="7" t="s">
        <v>10</v>
      </c>
      <c r="C29" s="104" t="s">
        <v>132</v>
      </c>
      <c r="D29" s="82" t="s">
        <v>108</v>
      </c>
      <c r="E29" s="99">
        <v>3.5</v>
      </c>
      <c r="F29" s="138">
        <v>6</v>
      </c>
      <c r="G29" s="42">
        <v>5900</v>
      </c>
      <c r="H29" s="5"/>
      <c r="I29" s="5"/>
      <c r="J29" s="61">
        <f>(Table5[[#This Row],[RPM]]/5400-1)</f>
        <v>9.259259259259256E-2</v>
      </c>
      <c r="K29" s="45">
        <v>190</v>
      </c>
      <c r="L29" s="7">
        <v>3</v>
      </c>
      <c r="M29" s="105">
        <v>300000</v>
      </c>
      <c r="N29" s="7">
        <v>180</v>
      </c>
      <c r="O29" s="105">
        <v>800000</v>
      </c>
      <c r="P29" s="35">
        <f t="shared" si="4"/>
        <v>100000000000000</v>
      </c>
      <c r="Q29" s="53">
        <v>24</v>
      </c>
      <c r="R29" s="5">
        <v>7.5</v>
      </c>
      <c r="S29" s="5">
        <v>5</v>
      </c>
      <c r="T29" s="107">
        <v>0.999</v>
      </c>
      <c r="U29" s="110">
        <f>(((Table5[[#This Row],[Watts Active]]*Power_On_Hours_Year/1000)*Active_Duty_Cycle)+((Table5[[#This Row],[Watts Idle]]*Power_On_Hours_Year/1000)*(100%-Active_Duty_Cycle)))*CostPerKWH</f>
        <v>6.0264600000000002</v>
      </c>
      <c r="V29" s="141">
        <f>Table5[Energy$year]/Table5[[#This Row],[SizTB]]</f>
        <v>1.00441</v>
      </c>
      <c r="W29" s="140">
        <v>194.79</v>
      </c>
      <c r="X29" s="6">
        <f>IF(Table5[[#This Row],[Cost]],Table5[[#This Row],[Cost]]/Table5[[#This Row],[SizTB]]*Exchange_Rate,"")</f>
        <v>32.464999999999996</v>
      </c>
      <c r="Y29" s="145">
        <f>Table5[[#This Row],[Cost]]+((CompareWarrYrs-Table5[[#This Row],[Warranty]])*(Incremental_Warr_Yr*Table5[[#This Row],[Cost]]))*Exchange_Rate</f>
        <v>237.6438</v>
      </c>
      <c r="Z29" s="6">
        <f>IF(Table5[[#This Row],[$+Warr]],Table5[[#This Row],[$+Warr]]/Table5[[#This Row],[SizTB]],"")</f>
        <v>39.607300000000002</v>
      </c>
      <c r="AA29" s="6">
        <f>IFERROR(Table5[[#This Row],[$PerTB]]/CompareWarrYrs,"")</f>
        <v>7.9214600000000006</v>
      </c>
      <c r="AB29" s="6">
        <f>IF(OR(Table5[[#This Row],[$ TB/year]]="",Table5[[#This Row],[Energy$yearPerTB]]=""),"",Table5[[#This Row],[$ TB/year]]+Table5[[#This Row],[Energy$yearPerTB]])</f>
        <v>8.9258699999999997</v>
      </c>
      <c r="AC29" s="155"/>
      <c r="AD29" s="156"/>
      <c r="AE29" s="102"/>
    </row>
    <row r="30" spans="1:31" x14ac:dyDescent="0.25">
      <c r="A30" s="103">
        <v>43066</v>
      </c>
      <c r="B30" s="7" t="s">
        <v>10</v>
      </c>
      <c r="C30" s="104" t="s">
        <v>132</v>
      </c>
      <c r="D30" s="82" t="s">
        <v>108</v>
      </c>
      <c r="E30" s="99">
        <v>3.5</v>
      </c>
      <c r="F30" s="138">
        <v>8</v>
      </c>
      <c r="G30" s="42">
        <v>5900</v>
      </c>
      <c r="H30" s="5">
        <v>5.5</v>
      </c>
      <c r="I30" s="5">
        <v>11.99</v>
      </c>
      <c r="J30" s="61">
        <f>(Table5[[#This Row],[RPM]]/5400-1)</f>
        <v>9.259259259259256E-2</v>
      </c>
      <c r="K30" s="45">
        <v>190</v>
      </c>
      <c r="L30" s="7">
        <v>3</v>
      </c>
      <c r="M30" s="105">
        <v>300000</v>
      </c>
      <c r="N30" s="7">
        <v>180</v>
      </c>
      <c r="O30" s="105">
        <v>800000</v>
      </c>
      <c r="P30" s="35">
        <f t="shared" si="4"/>
        <v>100000000000000</v>
      </c>
      <c r="Q30" s="53">
        <v>24</v>
      </c>
      <c r="R30" s="5">
        <v>7.5</v>
      </c>
      <c r="S30" s="5">
        <v>5</v>
      </c>
      <c r="T30" s="107">
        <v>0.999</v>
      </c>
      <c r="U30" s="110">
        <f>(((Table5[[#This Row],[Watts Active]]*Power_On_Hours_Year/1000)*Active_Duty_Cycle)+((Table5[[#This Row],[Watts Idle]]*Power_On_Hours_Year/1000)*(100%-Active_Duty_Cycle)))*CostPerKWH</f>
        <v>6.0264600000000002</v>
      </c>
      <c r="V30" s="141">
        <f>Table5[Energy$year]/Table5[[#This Row],[SizTB]]</f>
        <v>0.75330750000000002</v>
      </c>
      <c r="W30" s="140">
        <v>221.88</v>
      </c>
      <c r="X30" s="6">
        <f>IF(Table5[[#This Row],[Cost]],Table5[[#This Row],[Cost]]/Table5[[#This Row],[SizTB]]*Exchange_Rate,"")</f>
        <v>27.734999999999999</v>
      </c>
      <c r="Y30" s="145">
        <f>Table5[[#This Row],[Cost]]+((CompareWarrYrs-Table5[[#This Row],[Warranty]])*(Incremental_Warr_Yr*Table5[[#This Row],[Cost]]))*Exchange_Rate</f>
        <v>270.6936</v>
      </c>
      <c r="Z30" s="6">
        <f>IF(Table5[[#This Row],[$+Warr]],Table5[[#This Row],[$+Warr]]/Table5[[#This Row],[SizTB]],"")</f>
        <v>33.8367</v>
      </c>
      <c r="AA30" s="6">
        <f>IFERROR(Table5[[#This Row],[$PerTB]]/CompareWarrYrs,"")</f>
        <v>6.7673399999999999</v>
      </c>
      <c r="AB30" s="6">
        <f>IF(OR(Table5[[#This Row],[$ TB/year]]="",Table5[[#This Row],[Energy$yearPerTB]]=""),"",Table5[[#This Row],[$ TB/year]]+Table5[[#This Row],[Energy$yearPerTB]])</f>
        <v>7.5206474999999999</v>
      </c>
      <c r="AC30" s="155"/>
      <c r="AD30" s="156"/>
      <c r="AE30" s="102"/>
    </row>
    <row r="31" spans="1:31" x14ac:dyDescent="0.25">
      <c r="A31" s="1">
        <v>43320</v>
      </c>
      <c r="B31" t="s">
        <v>10</v>
      </c>
      <c r="C31" s="95" t="s">
        <v>11</v>
      </c>
      <c r="D31" s="27" t="s">
        <v>124</v>
      </c>
      <c r="E31" s="81">
        <v>2.5</v>
      </c>
      <c r="F31" s="69">
        <v>1</v>
      </c>
      <c r="G31" s="42">
        <v>5400</v>
      </c>
      <c r="H31" s="5"/>
      <c r="I31" s="5"/>
      <c r="J31" s="61">
        <f>(Table5[[#This Row],[RPM]]/5400-1)</f>
        <v>0</v>
      </c>
      <c r="K31" s="45">
        <v>140</v>
      </c>
      <c r="L31">
        <v>2</v>
      </c>
      <c r="M31" s="36">
        <v>600000</v>
      </c>
      <c r="O31" s="36"/>
      <c r="P31" s="35">
        <f t="shared" ref="P31:P39" si="5">10^14</f>
        <v>100000000000000</v>
      </c>
      <c r="Q31" s="53">
        <f>1*5</f>
        <v>5</v>
      </c>
      <c r="R31" s="5">
        <v>1.7</v>
      </c>
      <c r="S31" s="5">
        <v>0.45</v>
      </c>
      <c r="T31" s="107"/>
      <c r="U31" s="110">
        <f>(((Table5[[#This Row],[Watts Active]]*Power_On_Hours_Year/1000)*Active_Duty_Cycle)+((Table5[[#This Row],[Watts Idle]]*Power_On_Hours_Year/1000)*(100%-Active_Duty_Cycle)))*CostPerKWH</f>
        <v>0.76700400000000002</v>
      </c>
      <c r="V31" s="141">
        <f>Table5[Energy$year]/Table5[[#This Row],[SizTB]]</f>
        <v>0.76700400000000002</v>
      </c>
      <c r="W31" s="140">
        <v>41.99</v>
      </c>
      <c r="X31" s="6">
        <f>IF(Table5[[#This Row],[Cost]],Table5[[#This Row],[Cost]]/Table5[[#This Row],[SizTB]]*Exchange_Rate,"")</f>
        <v>41.99</v>
      </c>
      <c r="Y31" s="145">
        <f>Table5[[#This Row],[Cost]]+((CompareWarrYrs-Table5[[#This Row],[Warranty]])*(Incremental_Warr_Yr*Table5[[#This Row],[Cost]]))*Exchange_Rate</f>
        <v>55.846699999999998</v>
      </c>
      <c r="Z31" s="6">
        <f>IF(Table5[[#This Row],[$+Warr]],Table5[[#This Row],[$+Warr]]/Table5[[#This Row],[SizTB]],"")</f>
        <v>55.846699999999998</v>
      </c>
      <c r="AA31" s="6">
        <f>IFERROR(Table5[[#This Row],[$PerTB]]/CompareWarrYrs,"")</f>
        <v>11.16934</v>
      </c>
      <c r="AB31" s="6">
        <f>IF(OR(Table5[[#This Row],[$ TB/year]]="",Table5[[#This Row],[Energy$yearPerTB]]=""),"",Table5[[#This Row],[$ TB/year]]+Table5[[#This Row],[Energy$yearPerTB]])</f>
        <v>11.936344</v>
      </c>
      <c r="AC31" s="155">
        <v>22</v>
      </c>
      <c r="AD31" s="156">
        <v>24</v>
      </c>
      <c r="AE31" s="40"/>
    </row>
    <row r="32" spans="1:31" x14ac:dyDescent="0.25">
      <c r="A32" s="1">
        <v>43334</v>
      </c>
      <c r="B32" t="s">
        <v>10</v>
      </c>
      <c r="C32" s="95" t="s">
        <v>11</v>
      </c>
      <c r="D32" s="106" t="s">
        <v>124</v>
      </c>
      <c r="E32" s="81">
        <v>2.5</v>
      </c>
      <c r="F32" s="69">
        <v>2</v>
      </c>
      <c r="G32" s="42">
        <v>5400</v>
      </c>
      <c r="H32" s="5"/>
      <c r="I32" s="5"/>
      <c r="J32" s="61">
        <f>(Table5[[#This Row],[RPM]]/5400-1)</f>
        <v>0</v>
      </c>
      <c r="K32" s="45">
        <v>140</v>
      </c>
      <c r="L32">
        <v>2</v>
      </c>
      <c r="M32" s="36">
        <v>600000</v>
      </c>
      <c r="O32" s="36"/>
      <c r="P32" s="35">
        <f t="shared" si="5"/>
        <v>100000000000000</v>
      </c>
      <c r="Q32" s="53">
        <f>1*5</f>
        <v>5</v>
      </c>
      <c r="R32" s="5">
        <v>1.8</v>
      </c>
      <c r="S32" s="5">
        <v>0.5</v>
      </c>
      <c r="T32" s="107"/>
      <c r="U32" s="110">
        <f>(((Table5[[#This Row],[Watts Active]]*Power_On_Hours_Year/1000)*Active_Duty_Cycle)+((Table5[[#This Row],[Watts Idle]]*Power_On_Hours_Year/1000)*(100%-Active_Duty_Cycle)))*CostPerKWH</f>
        <v>0.83274720000000002</v>
      </c>
      <c r="V32" s="141">
        <f>Table5[Energy$year]/Table5[[#This Row],[SizTB]]</f>
        <v>0.41637360000000001</v>
      </c>
      <c r="W32" s="140">
        <v>69.989999999999995</v>
      </c>
      <c r="X32" s="6">
        <f>IF(Table5[[#This Row],[Cost]],Table5[[#This Row],[Cost]]/Table5[[#This Row],[SizTB]]*Exchange_Rate,"")</f>
        <v>34.994999999999997</v>
      </c>
      <c r="Y32" s="145">
        <f>Table5[[#This Row],[Cost]]+((CompareWarrYrs-Table5[[#This Row],[Warranty]])*(Incremental_Warr_Yr*Table5[[#This Row],[Cost]]))*Exchange_Rate</f>
        <v>93.086699999999993</v>
      </c>
      <c r="Z32" s="6">
        <f>IF(Table5[[#This Row],[$+Warr]],Table5[[#This Row],[$+Warr]]/Table5[[#This Row],[SizTB]],"")</f>
        <v>46.543349999999997</v>
      </c>
      <c r="AA32" s="6">
        <f>IFERROR(Table5[[#This Row],[$PerTB]]/CompareWarrYrs,"")</f>
        <v>9.3086699999999993</v>
      </c>
      <c r="AB32" s="6">
        <f>IF(OR(Table5[[#This Row],[$ TB/year]]="",Table5[[#This Row],[Energy$yearPerTB]]=""),"",Table5[[#This Row],[$ TB/year]]+Table5[[#This Row],[Energy$yearPerTB]])</f>
        <v>9.7250435999999993</v>
      </c>
      <c r="AC32" s="155">
        <v>24</v>
      </c>
      <c r="AD32" s="156">
        <v>26</v>
      </c>
      <c r="AE32" s="40"/>
    </row>
    <row r="33" spans="1:31" x14ac:dyDescent="0.25">
      <c r="A33" s="1">
        <v>43114</v>
      </c>
      <c r="B33" t="s">
        <v>10</v>
      </c>
      <c r="C33" s="95" t="s">
        <v>11</v>
      </c>
      <c r="D33" s="106" t="s">
        <v>124</v>
      </c>
      <c r="E33" s="81">
        <v>2.5</v>
      </c>
      <c r="F33" s="69">
        <v>3</v>
      </c>
      <c r="G33" s="42">
        <v>5400</v>
      </c>
      <c r="H33" s="5"/>
      <c r="I33" s="5"/>
      <c r="J33" s="61">
        <f>(Table5[[#This Row],[RPM]]/5400-1)</f>
        <v>0</v>
      </c>
      <c r="K33" s="45">
        <v>140</v>
      </c>
      <c r="L33">
        <v>2</v>
      </c>
      <c r="M33" s="36">
        <v>600000</v>
      </c>
      <c r="O33" s="36"/>
      <c r="P33" s="35">
        <f t="shared" si="5"/>
        <v>100000000000000</v>
      </c>
      <c r="Q33" s="53">
        <f>1.2*5</f>
        <v>6</v>
      </c>
      <c r="R33" s="5">
        <v>2.1</v>
      </c>
      <c r="S33" s="5">
        <v>1.1000000000000001</v>
      </c>
      <c r="T33" s="107"/>
      <c r="U33" s="110">
        <f>(((Table5[[#This Row],[Watts Active]]*Power_On_Hours_Year/1000)*Active_Duty_Cycle)+((Table5[[#This Row],[Watts Idle]]*Power_On_Hours_Year/1000)*(100%-Active_Duty_Cycle)))*CostPerKWH</f>
        <v>1.4244360000000003</v>
      </c>
      <c r="V33" s="141">
        <f>Table5[Energy$year]/Table5[[#This Row],[SizTB]]</f>
        <v>0.47481200000000007</v>
      </c>
      <c r="W33" s="140">
        <v>129.99</v>
      </c>
      <c r="X33" s="6">
        <f>IF(Table5[[#This Row],[Cost]],Table5[[#This Row],[Cost]]/Table5[[#This Row],[SizTB]]*Exchange_Rate,"")</f>
        <v>43.330000000000005</v>
      </c>
      <c r="Y33" s="145">
        <f>Table5[[#This Row],[Cost]]+((CompareWarrYrs-Table5[[#This Row],[Warranty]])*(Incremental_Warr_Yr*Table5[[#This Row],[Cost]]))*Exchange_Rate</f>
        <v>172.88670000000002</v>
      </c>
      <c r="Z33" s="6">
        <f>IF(Table5[[#This Row],[$+Warr]],Table5[[#This Row],[$+Warr]]/Table5[[#This Row],[SizTB]],"")</f>
        <v>57.628900000000009</v>
      </c>
      <c r="AA33" s="6">
        <f>IFERROR(Table5[[#This Row],[$PerTB]]/CompareWarrYrs,"")</f>
        <v>11.525780000000001</v>
      </c>
      <c r="AB33" s="6">
        <f>IF(OR(Table5[[#This Row],[$ TB/year]]="",Table5[[#This Row],[Energy$yearPerTB]]=""),"",Table5[[#This Row],[$ TB/year]]+Table5[[#This Row],[Energy$yearPerTB]])</f>
        <v>12.000592000000001</v>
      </c>
      <c r="AC33" s="155">
        <v>26</v>
      </c>
      <c r="AD33" s="156">
        <v>27</v>
      </c>
      <c r="AE33" s="40"/>
    </row>
    <row r="34" spans="1:31" x14ac:dyDescent="0.25">
      <c r="A34" s="1">
        <v>43103</v>
      </c>
      <c r="B34" t="s">
        <v>10</v>
      </c>
      <c r="C34" s="95" t="s">
        <v>11</v>
      </c>
      <c r="D34" s="106" t="s">
        <v>124</v>
      </c>
      <c r="E34" s="81">
        <v>2.5</v>
      </c>
      <c r="F34" s="69">
        <v>4</v>
      </c>
      <c r="G34" s="42">
        <v>5400</v>
      </c>
      <c r="H34" s="5"/>
      <c r="I34" s="5"/>
      <c r="J34" s="61">
        <f>(Table5[[#This Row],[RPM]]/5400-1)</f>
        <v>0</v>
      </c>
      <c r="K34" s="45">
        <v>140</v>
      </c>
      <c r="L34">
        <v>2</v>
      </c>
      <c r="M34" s="36">
        <v>600000</v>
      </c>
      <c r="O34" s="36"/>
      <c r="P34" s="35">
        <f t="shared" si="5"/>
        <v>100000000000000</v>
      </c>
      <c r="Q34" s="53">
        <f>1.2*5</f>
        <v>6</v>
      </c>
      <c r="R34" s="5">
        <v>2.1</v>
      </c>
      <c r="S34" s="5">
        <v>1.1000000000000001</v>
      </c>
      <c r="T34" s="107"/>
      <c r="U34" s="110">
        <f>(((Table5[[#This Row],[Watts Active]]*Power_On_Hours_Year/1000)*Active_Duty_Cycle)+((Table5[[#This Row],[Watts Idle]]*Power_On_Hours_Year/1000)*(100%-Active_Duty_Cycle)))*CostPerKWH</f>
        <v>1.4244360000000003</v>
      </c>
      <c r="V34" s="141">
        <f>Table5[Energy$year]/Table5[[#This Row],[SizTB]]</f>
        <v>0.35610900000000006</v>
      </c>
      <c r="W34" s="140">
        <v>157.09</v>
      </c>
      <c r="X34" s="6">
        <f>IF(Table5[[#This Row],[Cost]],Table5[[#This Row],[Cost]]/Table5[[#This Row],[SizTB]]*Exchange_Rate,"")</f>
        <v>39.272500000000001</v>
      </c>
      <c r="Y34" s="145">
        <f>Table5[[#This Row],[Cost]]+((CompareWarrYrs-Table5[[#This Row],[Warranty]])*(Incremental_Warr_Yr*Table5[[#This Row],[Cost]]))*Exchange_Rate</f>
        <v>208.92970000000003</v>
      </c>
      <c r="Z34" s="6">
        <f>IF(Table5[[#This Row],[$+Warr]],Table5[[#This Row],[$+Warr]]/Table5[[#This Row],[SizTB]],"")</f>
        <v>52.232425000000006</v>
      </c>
      <c r="AA34" s="6">
        <f>IFERROR(Table5[[#This Row],[$PerTB]]/CompareWarrYrs,"")</f>
        <v>10.446485000000001</v>
      </c>
      <c r="AB34" s="6">
        <f>IF(OR(Table5[[#This Row],[$ TB/year]]="",Table5[[#This Row],[Energy$yearPerTB]]=""),"",Table5[[#This Row],[$ TB/year]]+Table5[[#This Row],[Energy$yearPerTB]])</f>
        <v>10.802594000000001</v>
      </c>
      <c r="AC34" s="155">
        <v>26</v>
      </c>
      <c r="AD34" s="156">
        <v>27</v>
      </c>
      <c r="AE34" s="40"/>
    </row>
    <row r="35" spans="1:31" x14ac:dyDescent="0.25">
      <c r="A35" s="1">
        <v>43114</v>
      </c>
      <c r="B35" t="s">
        <v>10</v>
      </c>
      <c r="C35" s="95" t="s">
        <v>11</v>
      </c>
      <c r="D35" s="106" t="s">
        <v>124</v>
      </c>
      <c r="E35" s="81">
        <v>2.5</v>
      </c>
      <c r="F35" s="69">
        <v>5</v>
      </c>
      <c r="G35" s="42">
        <v>5400</v>
      </c>
      <c r="H35" s="5"/>
      <c r="I35" s="5"/>
      <c r="J35" s="61">
        <f>(Table5[[#This Row],[RPM]]/5400-1)</f>
        <v>0</v>
      </c>
      <c r="K35" s="45">
        <v>140</v>
      </c>
      <c r="L35">
        <v>2</v>
      </c>
      <c r="M35" s="36">
        <v>600000</v>
      </c>
      <c r="O35" s="36"/>
      <c r="P35" s="35">
        <f t="shared" si="5"/>
        <v>100000000000000</v>
      </c>
      <c r="Q35" s="53">
        <f>1.2*5</f>
        <v>6</v>
      </c>
      <c r="R35" s="5">
        <v>2.1</v>
      </c>
      <c r="S35" s="5">
        <v>1.1000000000000001</v>
      </c>
      <c r="T35" s="107"/>
      <c r="U35" s="110">
        <f>(((Table5[[#This Row],[Watts Active]]*Power_On_Hours_Year/1000)*Active_Duty_Cycle)+((Table5[[#This Row],[Watts Idle]]*Power_On_Hours_Year/1000)*(100%-Active_Duty_Cycle)))*CostPerKWH</f>
        <v>1.4244360000000003</v>
      </c>
      <c r="V35" s="141">
        <f>Table5[Energy$year]/Table5[[#This Row],[SizTB]]</f>
        <v>0.28488720000000006</v>
      </c>
      <c r="W35" s="140">
        <v>196.22</v>
      </c>
      <c r="X35" s="6">
        <f>IF(Table5[[#This Row],[Cost]],Table5[[#This Row],[Cost]]/Table5[[#This Row],[SizTB]]*Exchange_Rate,"")</f>
        <v>39.244</v>
      </c>
      <c r="Y35" s="145">
        <f>Table5[[#This Row],[Cost]]+((CompareWarrYrs-Table5[[#This Row],[Warranty]])*(Incremental_Warr_Yr*Table5[[#This Row],[Cost]]))*Exchange_Rate</f>
        <v>260.9726</v>
      </c>
      <c r="Z35" s="6">
        <f>IF(Table5[[#This Row],[$+Warr]],Table5[[#This Row],[$+Warr]]/Table5[[#This Row],[SizTB]],"")</f>
        <v>52.194519999999997</v>
      </c>
      <c r="AA35" s="6">
        <f>IFERROR(Table5[[#This Row],[$PerTB]]/CompareWarrYrs,"")</f>
        <v>10.438903999999999</v>
      </c>
      <c r="AB35" s="6">
        <f>IF(OR(Table5[[#This Row],[$ TB/year]]="",Table5[[#This Row],[Energy$yearPerTB]]=""),"",Table5[[#This Row],[$ TB/year]]+Table5[[#This Row],[Energy$yearPerTB]])</f>
        <v>10.723791199999999</v>
      </c>
      <c r="AC35" s="155">
        <v>26</v>
      </c>
      <c r="AD35" s="156">
        <v>27</v>
      </c>
      <c r="AE35" s="40"/>
    </row>
    <row r="36" spans="1:31" x14ac:dyDescent="0.25">
      <c r="A36" s="1">
        <v>43577</v>
      </c>
      <c r="B36" t="s">
        <v>10</v>
      </c>
      <c r="C36" s="95" t="s">
        <v>11</v>
      </c>
      <c r="D36" s="27" t="s">
        <v>125</v>
      </c>
      <c r="E36" s="81">
        <v>3.5</v>
      </c>
      <c r="F36" s="69">
        <v>1</v>
      </c>
      <c r="G36" s="42">
        <v>7200</v>
      </c>
      <c r="H36" s="5">
        <v>4.16</v>
      </c>
      <c r="I36" s="5">
        <v>9.5</v>
      </c>
      <c r="J36" s="61">
        <f>(Table5[[#This Row],[RPM]]/5400-1)</f>
        <v>0.33333333333333326</v>
      </c>
      <c r="K36" s="45">
        <v>156</v>
      </c>
      <c r="L36">
        <v>2</v>
      </c>
      <c r="M36" s="36">
        <v>300000</v>
      </c>
      <c r="N36">
        <v>55</v>
      </c>
      <c r="O36" s="36"/>
      <c r="P36" s="35">
        <f t="shared" si="5"/>
        <v>100000000000000</v>
      </c>
      <c r="Q36" s="53">
        <v>24</v>
      </c>
      <c r="R36" s="5">
        <v>5.3</v>
      </c>
      <c r="S36" s="5">
        <v>4.5999999999999996</v>
      </c>
      <c r="T36" s="107">
        <v>0.94</v>
      </c>
      <c r="U36" s="110">
        <f>(((Table5[[#This Row],[Watts Active]]*Power_On_Hours_Year/1000)*Active_Duty_Cycle)+((Table5[[#This Row],[Watts Idle]]*Power_On_Hours_Year/1000)*(100%-Active_Duty_Cycle)))*CostPerKWH</f>
        <v>5.1937128000000001</v>
      </c>
      <c r="V36" s="141">
        <f>Table5[Energy$year]/Table5[[#This Row],[SizTB]]</f>
        <v>5.1937128000000001</v>
      </c>
      <c r="W36" s="140">
        <v>39.99</v>
      </c>
      <c r="X36" s="6">
        <f>IF(Table5[[#This Row],[Cost]],Table5[[#This Row],[Cost]]/Table5[[#This Row],[SizTB]]*Exchange_Rate,"")</f>
        <v>39.99</v>
      </c>
      <c r="Y36" s="145">
        <f>Table5[[#This Row],[Cost]]+((CompareWarrYrs-Table5[[#This Row],[Warranty]])*(Incremental_Warr_Yr*Table5[[#This Row],[Cost]]))*Exchange_Rate</f>
        <v>53.186700000000002</v>
      </c>
      <c r="Z36" s="6">
        <f>IF(Table5[[#This Row],[$+Warr]],Table5[[#This Row],[$+Warr]]/Table5[[#This Row],[SizTB]],"")</f>
        <v>53.186700000000002</v>
      </c>
      <c r="AA36" s="6">
        <f>IFERROR(Table5[[#This Row],[$PerTB]]/CompareWarrYrs,"")</f>
        <v>10.63734</v>
      </c>
      <c r="AB36" s="6">
        <f>IF(OR(Table5[[#This Row],[$ TB/year]]="",Table5[[#This Row],[Energy$yearPerTB]]=""),"",Table5[[#This Row],[$ TB/year]]+Table5[[#This Row],[Energy$yearPerTB]])</f>
        <v>15.8310528</v>
      </c>
      <c r="AC36" s="155">
        <v>24</v>
      </c>
      <c r="AD36" s="156">
        <v>25</v>
      </c>
      <c r="AE36" s="40"/>
    </row>
    <row r="37" spans="1:31" x14ac:dyDescent="0.25">
      <c r="A37" s="1">
        <v>43563</v>
      </c>
      <c r="B37" t="s">
        <v>10</v>
      </c>
      <c r="C37" s="95" t="s">
        <v>11</v>
      </c>
      <c r="D37" s="106" t="s">
        <v>125</v>
      </c>
      <c r="E37" s="81">
        <v>3.5</v>
      </c>
      <c r="F37" s="69">
        <v>2</v>
      </c>
      <c r="G37" s="42">
        <v>7200</v>
      </c>
      <c r="H37" s="5">
        <v>6</v>
      </c>
      <c r="I37" s="5">
        <v>15</v>
      </c>
      <c r="J37" s="61">
        <f>(Table5[[#This Row],[RPM]]/5400-1)</f>
        <v>0.33333333333333326</v>
      </c>
      <c r="K37" s="45">
        <v>190</v>
      </c>
      <c r="L37">
        <v>2</v>
      </c>
      <c r="M37" s="36">
        <v>600000</v>
      </c>
      <c r="N37">
        <v>55</v>
      </c>
      <c r="O37" s="36"/>
      <c r="P37" s="35">
        <f t="shared" si="5"/>
        <v>100000000000000</v>
      </c>
      <c r="Q37" s="53">
        <f>2.5*12</f>
        <v>30</v>
      </c>
      <c r="R37" s="5">
        <v>8</v>
      </c>
      <c r="S37" s="5">
        <v>5.4</v>
      </c>
      <c r="T37" s="107">
        <v>0.75</v>
      </c>
      <c r="U37" s="110">
        <f>(((Table5[[#This Row],[Watts Active]]*Power_On_Hours_Year/1000)*Active_Duty_Cycle)+((Table5[[#This Row],[Watts Idle]]*Power_On_Hours_Year/1000)*(100%-Active_Duty_Cycle)))*CostPerKWH</f>
        <v>6.486662400000001</v>
      </c>
      <c r="V37" s="141">
        <f>Table5[Energy$year]/Table5[[#This Row],[SizTB]]</f>
        <v>3.2433312000000005</v>
      </c>
      <c r="W37" s="140">
        <v>59.88</v>
      </c>
      <c r="X37" s="6">
        <f>IF(Table5[[#This Row],[Cost]],Table5[[#This Row],[Cost]]/Table5[[#This Row],[SizTB]]*Exchange_Rate,"")</f>
        <v>29.94</v>
      </c>
      <c r="Y37" s="145">
        <f>Table5[[#This Row],[Cost]]+((CompareWarrYrs-Table5[[#This Row],[Warranty]])*(Incremental_Warr_Yr*Table5[[#This Row],[Cost]]))*Exchange_Rate</f>
        <v>79.6404</v>
      </c>
      <c r="Z37" s="6">
        <f>IF(Table5[[#This Row],[$+Warr]],Table5[[#This Row],[$+Warr]]/Table5[[#This Row],[SizTB]],"")</f>
        <v>39.8202</v>
      </c>
      <c r="AA37" s="6">
        <f>IFERROR(Table5[[#This Row],[$PerTB]]/CompareWarrYrs,"")</f>
        <v>7.9640399999999998</v>
      </c>
      <c r="AB37" s="6">
        <f>IF(OR(Table5[[#This Row],[$ TB/year]]="",Table5[[#This Row],[Energy$yearPerTB]]=""),"",Table5[[#This Row],[$ TB/year]]+Table5[[#This Row],[Energy$yearPerTB]])</f>
        <v>11.207371200000001</v>
      </c>
      <c r="AC37" s="155">
        <f>2.1*10</f>
        <v>21</v>
      </c>
      <c r="AD37" s="156">
        <f>2.3*10</f>
        <v>23</v>
      </c>
      <c r="AE37" s="166"/>
    </row>
    <row r="38" spans="1:31" x14ac:dyDescent="0.25">
      <c r="A38" s="1">
        <v>43531</v>
      </c>
      <c r="B38" t="s">
        <v>10</v>
      </c>
      <c r="C38" s="95" t="s">
        <v>11</v>
      </c>
      <c r="D38" s="106" t="s">
        <v>125</v>
      </c>
      <c r="E38" s="81">
        <v>3.5</v>
      </c>
      <c r="F38" s="69">
        <v>3</v>
      </c>
      <c r="G38" s="42">
        <v>7200</v>
      </c>
      <c r="H38" s="5">
        <v>6</v>
      </c>
      <c r="I38" s="5">
        <v>15</v>
      </c>
      <c r="J38" s="61">
        <f>(Table5[[#This Row],[RPM]]/5400-1)</f>
        <v>0.33333333333333326</v>
      </c>
      <c r="K38" s="45">
        <v>185</v>
      </c>
      <c r="L38">
        <v>2</v>
      </c>
      <c r="M38" s="36">
        <v>600000</v>
      </c>
      <c r="N38">
        <v>55</v>
      </c>
      <c r="O38" s="36"/>
      <c r="P38" s="35">
        <f t="shared" si="5"/>
        <v>100000000000000</v>
      </c>
      <c r="Q38" s="53">
        <f>2.5*12</f>
        <v>30</v>
      </c>
      <c r="R38" s="5">
        <v>8</v>
      </c>
      <c r="S38" s="5">
        <v>5.4</v>
      </c>
      <c r="T38" s="107">
        <v>0.75</v>
      </c>
      <c r="U38" s="110">
        <f>(((Table5[[#This Row],[Watts Active]]*Power_On_Hours_Year/1000)*Active_Duty_Cycle)+((Table5[[#This Row],[Watts Idle]]*Power_On_Hours_Year/1000)*(100%-Active_Duty_Cycle)))*CostPerKWH</f>
        <v>6.486662400000001</v>
      </c>
      <c r="V38" s="141">
        <f>Table5[Energy$year]/Table5[[#This Row],[SizTB]]</f>
        <v>2.1622208000000005</v>
      </c>
      <c r="W38" s="140">
        <v>84.99</v>
      </c>
      <c r="X38" s="6">
        <f>IF(Table5[[#This Row],[Cost]],Table5[[#This Row],[Cost]]/Table5[[#This Row],[SizTB]]*Exchange_Rate,"")</f>
        <v>28.33</v>
      </c>
      <c r="Y38" s="145">
        <f>Table5[[#This Row],[Cost]]+((CompareWarrYrs-Table5[[#This Row],[Warranty]])*(Incremental_Warr_Yr*Table5[[#This Row],[Cost]]))*Exchange_Rate</f>
        <v>113.0367</v>
      </c>
      <c r="Z38" s="6">
        <f>IF(Table5[[#This Row],[$+Warr]],Table5[[#This Row],[$+Warr]]/Table5[[#This Row],[SizTB]],"")</f>
        <v>37.678899999999999</v>
      </c>
      <c r="AA38" s="6">
        <f>IFERROR(Table5[[#This Row],[$PerTB]]/CompareWarrYrs,"")</f>
        <v>7.5357799999999999</v>
      </c>
      <c r="AB38" s="6">
        <f>IF(OR(Table5[[#This Row],[$ TB/year]]="",Table5[[#This Row],[Energy$yearPerTB]]=""),"",Table5[[#This Row],[$ TB/year]]+Table5[[#This Row],[Energy$yearPerTB]])</f>
        <v>9.6980008000000009</v>
      </c>
      <c r="AC38" s="155">
        <f>2.4*10</f>
        <v>24</v>
      </c>
      <c r="AD38" s="156">
        <f>2.7*10</f>
        <v>27</v>
      </c>
      <c r="AE38" s="166"/>
    </row>
    <row r="39" spans="1:31" x14ac:dyDescent="0.25">
      <c r="A39" s="1">
        <v>43531</v>
      </c>
      <c r="B39" t="s">
        <v>10</v>
      </c>
      <c r="C39" s="95" t="s">
        <v>11</v>
      </c>
      <c r="D39" s="106" t="s">
        <v>125</v>
      </c>
      <c r="E39" s="81">
        <v>3.5</v>
      </c>
      <c r="F39" s="69">
        <v>4</v>
      </c>
      <c r="G39" s="42">
        <v>7200</v>
      </c>
      <c r="H39" s="5">
        <v>6</v>
      </c>
      <c r="I39" s="5">
        <v>15</v>
      </c>
      <c r="J39" s="61">
        <f>(Table5[[#This Row],[RPM]]/5400-1)</f>
        <v>0.33333333333333326</v>
      </c>
      <c r="K39" s="45">
        <v>190</v>
      </c>
      <c r="L39">
        <v>2</v>
      </c>
      <c r="M39" s="36">
        <v>600000</v>
      </c>
      <c r="N39">
        <v>55</v>
      </c>
      <c r="O39" s="36"/>
      <c r="P39" s="35">
        <f t="shared" si="5"/>
        <v>100000000000000</v>
      </c>
      <c r="Q39" s="53">
        <v>24</v>
      </c>
      <c r="R39" s="5">
        <v>5</v>
      </c>
      <c r="S39" s="5">
        <v>2.5</v>
      </c>
      <c r="T39" s="107">
        <v>0.25</v>
      </c>
      <c r="U39" s="110">
        <f>(((Table5[[#This Row],[Watts Active]]*Power_On_Hours_Year/1000)*Active_Duty_Cycle)+((Table5[[#This Row],[Watts Idle]]*Power_On_Hours_Year/1000)*(100%-Active_Duty_Cycle)))*CostPerKWH</f>
        <v>3.2871600000000001</v>
      </c>
      <c r="V39" s="141">
        <f>Table5[Energy$year]/Table5[[#This Row],[SizTB]]</f>
        <v>0.82179000000000002</v>
      </c>
      <c r="W39" s="140">
        <v>98.99</v>
      </c>
      <c r="X39" s="6">
        <f>IF(Table5[[#This Row],[Cost]],Table5[[#This Row],[Cost]]/Table5[[#This Row],[SizTB]]*Exchange_Rate,"")</f>
        <v>24.747499999999999</v>
      </c>
      <c r="Y39" s="145">
        <f>Table5[[#This Row],[Cost]]+((CompareWarrYrs-Table5[[#This Row],[Warranty]])*(Incremental_Warr_Yr*Table5[[#This Row],[Cost]]))*Exchange_Rate</f>
        <v>131.6567</v>
      </c>
      <c r="Z39" s="6">
        <f>IF(Table5[[#This Row],[$+Warr]],Table5[[#This Row],[$+Warr]]/Table5[[#This Row],[SizTB]],"")</f>
        <v>32.914175</v>
      </c>
      <c r="AA39" s="6">
        <f>IFERROR(Table5[[#This Row],[$PerTB]]/CompareWarrYrs,"")</f>
        <v>6.5828350000000002</v>
      </c>
      <c r="AB39" s="6">
        <f>IF(OR(Table5[[#This Row],[$ TB/year]]="",Table5[[#This Row],[Energy$yearPerTB]]=""),"",Table5[[#This Row],[$ TB/year]]+Table5[[#This Row],[Energy$yearPerTB]])</f>
        <v>7.4046250000000002</v>
      </c>
      <c r="AC39" s="155">
        <f>2.4*10</f>
        <v>24</v>
      </c>
      <c r="AD39" s="156">
        <f>2.7*10</f>
        <v>27</v>
      </c>
      <c r="AE39" s="40"/>
    </row>
    <row r="40" spans="1:31" x14ac:dyDescent="0.25">
      <c r="A40" s="1">
        <v>43531</v>
      </c>
      <c r="B40" t="s">
        <v>10</v>
      </c>
      <c r="C40" s="95" t="s">
        <v>11</v>
      </c>
      <c r="D40" s="106" t="s">
        <v>125</v>
      </c>
      <c r="E40" s="81">
        <v>3.5</v>
      </c>
      <c r="F40" s="69">
        <v>6</v>
      </c>
      <c r="G40" s="42">
        <v>7200</v>
      </c>
      <c r="H40" s="5">
        <v>6</v>
      </c>
      <c r="I40" s="5">
        <v>15</v>
      </c>
      <c r="J40" s="61">
        <f>(Table5[[#This Row],[RPM]]/5400-1)</f>
        <v>0.33333333333333326</v>
      </c>
      <c r="K40" s="45">
        <v>185</v>
      </c>
      <c r="L40">
        <v>2</v>
      </c>
      <c r="M40" s="36">
        <v>600000</v>
      </c>
      <c r="N40">
        <v>55</v>
      </c>
      <c r="O40" s="36"/>
      <c r="P40" s="35">
        <f>10^15</f>
        <v>1000000000000000</v>
      </c>
      <c r="Q40" s="53">
        <v>24</v>
      </c>
      <c r="R40" s="5">
        <v>5.3</v>
      </c>
      <c r="S40" s="5">
        <v>3.4</v>
      </c>
      <c r="T40" s="107">
        <v>0.25</v>
      </c>
      <c r="U40" s="110">
        <f>(((Table5[[#This Row],[Watts Active]]*Power_On_Hours_Year/1000)*Active_Duty_Cycle)+((Table5[[#This Row],[Watts Idle]]*Power_On_Hours_Year/1000)*(100%-Active_Duty_Cycle)))*CostPerKWH</f>
        <v>4.1418216000000001</v>
      </c>
      <c r="V40" s="141">
        <f>Table5[Energy$year]/Table5[[#This Row],[SizTB]]</f>
        <v>0.69030360000000002</v>
      </c>
      <c r="W40" s="116">
        <v>169.99</v>
      </c>
      <c r="X40" s="6">
        <f>IF(Table5[[#This Row],[Cost]],Table5[[#This Row],[Cost]]/Table5[[#This Row],[SizTB]]*Exchange_Rate,"")</f>
        <v>28.331666666666667</v>
      </c>
      <c r="Y40" s="145">
        <f>Table5[[#This Row],[Cost]]+((CompareWarrYrs-Table5[[#This Row],[Warranty]])*(Incremental_Warr_Yr*Table5[[#This Row],[Cost]]))</f>
        <v>226.08670000000001</v>
      </c>
      <c r="Z40" s="6">
        <f>IF(Table5[[#This Row],[$+Warr]],Table5[[#This Row],[$+Warr]]/Table5[[#This Row],[SizTB]],"")</f>
        <v>37.681116666666668</v>
      </c>
      <c r="AA40" s="6">
        <f>IFERROR(Table5[[#This Row],[$PerTB]]/CompareWarrYrs,"")</f>
        <v>7.5362233333333339</v>
      </c>
      <c r="AB40" s="6">
        <f>IF(OR(Table5[[#This Row],[$ TB/year]]="",Table5[[#This Row],[Energy$yearPerTB]]=""),"",Table5[[#This Row],[$ TB/year]]+Table5[[#This Row],[Energy$yearPerTB]])</f>
        <v>8.226526933333334</v>
      </c>
      <c r="AC40" s="155">
        <f>2.5*10</f>
        <v>25</v>
      </c>
      <c r="AD40" s="156">
        <f>2.6*10</f>
        <v>26</v>
      </c>
      <c r="AE40" s="40"/>
    </row>
    <row r="41" spans="1:31" x14ac:dyDescent="0.25">
      <c r="A41" s="1">
        <v>43531</v>
      </c>
      <c r="B41" t="s">
        <v>10</v>
      </c>
      <c r="C41" s="95" t="s">
        <v>11</v>
      </c>
      <c r="D41" s="106" t="s">
        <v>125</v>
      </c>
      <c r="E41" s="81">
        <v>3.5</v>
      </c>
      <c r="F41" s="69">
        <v>8</v>
      </c>
      <c r="G41" s="42">
        <v>7200</v>
      </c>
      <c r="H41" s="5">
        <v>6</v>
      </c>
      <c r="I41" s="5">
        <v>15</v>
      </c>
      <c r="J41" s="61">
        <f>(Table5[[#This Row],[RPM]]/5400-1)</f>
        <v>0.33333333333333326</v>
      </c>
      <c r="K41" s="45">
        <v>190</v>
      </c>
      <c r="L41">
        <v>2</v>
      </c>
      <c r="M41" s="36">
        <v>600000</v>
      </c>
      <c r="N41">
        <v>55</v>
      </c>
      <c r="O41" s="36"/>
      <c r="P41" s="35">
        <f>10^15</f>
        <v>1000000000000000</v>
      </c>
      <c r="Q41" s="53">
        <v>24</v>
      </c>
      <c r="R41" s="5">
        <v>5.3</v>
      </c>
      <c r="S41" s="5">
        <v>3.4</v>
      </c>
      <c r="T41" s="107">
        <v>0.25</v>
      </c>
      <c r="U41" s="110">
        <f>(((Table5[[#This Row],[Watts Active]]*Power_On_Hours_Year/1000)*Active_Duty_Cycle)+((Table5[[#This Row],[Watts Idle]]*Power_On_Hours_Year/1000)*(100%-Active_Duty_Cycle)))*CostPerKWH</f>
        <v>4.1418216000000001</v>
      </c>
      <c r="V41" s="141">
        <f>Table5[Energy$year]/Table5[[#This Row],[SizTB]]</f>
        <v>0.51772770000000001</v>
      </c>
      <c r="W41" s="116">
        <v>184.99</v>
      </c>
      <c r="X41" s="6">
        <f>IF(Table5[[#This Row],[Cost]],Table5[[#This Row],[Cost]]/Table5[[#This Row],[SizTB]]*Exchange_Rate,"")</f>
        <v>23.123750000000001</v>
      </c>
      <c r="Y41" s="145">
        <f>Table5[[#This Row],[Cost]]+((CompareWarrYrs-Table5[[#This Row],[Warranty]])*(Incremental_Warr_Yr*Table5[[#This Row],[Cost]]))</f>
        <v>246.0367</v>
      </c>
      <c r="Z41" s="6">
        <f>IF(Table5[[#This Row],[$+Warr]],Table5[[#This Row],[$+Warr]]/Table5[[#This Row],[SizTB]],"")</f>
        <v>30.7545875</v>
      </c>
      <c r="AA41" s="6">
        <f>IFERROR(Table5[[#This Row],[$PerTB]]/CompareWarrYrs,"")</f>
        <v>6.1509175000000003</v>
      </c>
      <c r="AB41" s="6">
        <f>IF(OR(Table5[[#This Row],[$ TB/year]]="",Table5[[#This Row],[Energy$yearPerTB]]=""),"",Table5[[#This Row],[$ TB/year]]+Table5[[#This Row],[Energy$yearPerTB]])</f>
        <v>6.6686452000000003</v>
      </c>
      <c r="AC41" s="155">
        <f>2.5*10</f>
        <v>25</v>
      </c>
      <c r="AD41" s="156">
        <f>2.6*10</f>
        <v>26</v>
      </c>
      <c r="AE41" s="40"/>
    </row>
    <row r="42" spans="1:31" x14ac:dyDescent="0.25">
      <c r="A42" s="1">
        <v>43531</v>
      </c>
      <c r="B42" t="s">
        <v>10</v>
      </c>
      <c r="C42" s="95" t="s">
        <v>18</v>
      </c>
      <c r="D42" s="27" t="s">
        <v>125</v>
      </c>
      <c r="E42" s="81">
        <v>3.5</v>
      </c>
      <c r="F42" s="69">
        <v>2</v>
      </c>
      <c r="G42" s="42">
        <v>7200</v>
      </c>
      <c r="H42" s="5">
        <v>4.16</v>
      </c>
      <c r="I42" s="5"/>
      <c r="J42" s="61">
        <f>(Table5[[#This Row],[RPM]]/5400-1)</f>
        <v>0.33333333333333326</v>
      </c>
      <c r="K42" s="45">
        <v>195</v>
      </c>
      <c r="L42">
        <v>5</v>
      </c>
      <c r="M42" s="36">
        <v>600000</v>
      </c>
      <c r="N42">
        <v>180</v>
      </c>
      <c r="O42" s="36">
        <v>1200000</v>
      </c>
      <c r="P42" s="35">
        <v>1000000000000000</v>
      </c>
      <c r="Q42" s="53">
        <v>24</v>
      </c>
      <c r="R42" s="5">
        <v>6.7</v>
      </c>
      <c r="S42" s="5">
        <v>4.5</v>
      </c>
      <c r="T42" s="107">
        <v>0.8</v>
      </c>
      <c r="U42" s="110">
        <f>(((Table5[[#This Row],[Watts Active]]*Power_On_Hours_Year/1000)*Active_Duty_Cycle)+((Table5[[#This Row],[Watts Idle]]*Power_On_Hours_Year/1000)*(100%-Active_Duty_Cycle)))*CostPerKWH</f>
        <v>5.4128568000000001</v>
      </c>
      <c r="V42" s="141">
        <f>Table5[Energy$year]/Table5[[#This Row],[SizTB]]</f>
        <v>2.7064284000000001</v>
      </c>
      <c r="W42" s="140">
        <v>110.15</v>
      </c>
      <c r="X42" s="6">
        <f>IF(Table5[[#This Row],[Cost]],Table5[[#This Row],[Cost]]/Table5[[#This Row],[SizTB]]*Exchange_Rate,"")</f>
        <v>55.075000000000003</v>
      </c>
      <c r="Y42" s="145">
        <f>Table5[[#This Row],[Cost]]+((CompareWarrYrs-Table5[[#This Row],[Warranty]])*(Incremental_Warr_Yr*Table5[[#This Row],[Cost]]))*Exchange_Rate</f>
        <v>110.15</v>
      </c>
      <c r="Z42" s="6">
        <f>IF(Table5[[#This Row],[$+Warr]],Table5[[#This Row],[$+Warr]]/Table5[[#This Row],[SizTB]],"")</f>
        <v>55.075000000000003</v>
      </c>
      <c r="AA42" s="6">
        <f>IFERROR(Table5[[#This Row],[$PerTB]]/CompareWarrYrs,"")</f>
        <v>11.015000000000001</v>
      </c>
      <c r="AB42" s="6">
        <f>IF(OR(Table5[[#This Row],[$ TB/year]]="",Table5[[#This Row],[Energy$yearPerTB]]=""),"",Table5[[#This Row],[$ TB/year]]+Table5[[#This Row],[Energy$yearPerTB]])</f>
        <v>13.721428400000001</v>
      </c>
      <c r="AC42" s="155">
        <v>24</v>
      </c>
      <c r="AD42" s="156">
        <v>28</v>
      </c>
      <c r="AE42" s="40"/>
    </row>
    <row r="43" spans="1:31" x14ac:dyDescent="0.25">
      <c r="A43" s="1">
        <v>43531</v>
      </c>
      <c r="B43" t="s">
        <v>10</v>
      </c>
      <c r="C43" s="95" t="s">
        <v>18</v>
      </c>
      <c r="D43" s="106" t="s">
        <v>125</v>
      </c>
      <c r="E43" s="81">
        <v>3.5</v>
      </c>
      <c r="F43" s="69">
        <v>4</v>
      </c>
      <c r="G43" s="42">
        <v>7200</v>
      </c>
      <c r="H43" s="5">
        <v>4.16</v>
      </c>
      <c r="I43" s="5"/>
      <c r="J43" s="61">
        <f>(Table5[[#This Row],[RPM]]/5400-1)</f>
        <v>0.33333333333333326</v>
      </c>
      <c r="K43" s="45">
        <v>214</v>
      </c>
      <c r="L43">
        <v>5</v>
      </c>
      <c r="M43" s="36">
        <v>600000</v>
      </c>
      <c r="N43">
        <v>180</v>
      </c>
      <c r="O43" s="36">
        <v>1200000</v>
      </c>
      <c r="P43" s="35">
        <v>1000000000000000</v>
      </c>
      <c r="Q43" s="53">
        <v>24</v>
      </c>
      <c r="R43" s="5">
        <v>6.7</v>
      </c>
      <c r="S43" s="5">
        <v>6</v>
      </c>
      <c r="T43" s="107">
        <v>0.6</v>
      </c>
      <c r="U43" s="110">
        <f>(((Table5[[#This Row],[Watts Active]]*Power_On_Hours_Year/1000)*Active_Duty_Cycle)+((Table5[[#This Row],[Watts Idle]]*Power_On_Hours_Year/1000)*(100%-Active_Duty_Cycle)))*CostPerKWH</f>
        <v>6.7277208000000002</v>
      </c>
      <c r="V43" s="141">
        <f>Table5[Energy$year]/Table5[[#This Row],[SizTB]]</f>
        <v>1.6819302</v>
      </c>
      <c r="W43" s="140">
        <v>161.99</v>
      </c>
      <c r="X43" s="6">
        <f>IF(Table5[[#This Row],[Cost]],Table5[[#This Row],[Cost]]/Table5[[#This Row],[SizTB]]*Exchange_Rate,"")</f>
        <v>40.497500000000002</v>
      </c>
      <c r="Y43" s="145">
        <f>Table5[[#This Row],[Cost]]+((CompareWarrYrs-Table5[[#This Row],[Warranty]])*(Incremental_Warr_Yr*Table5[[#This Row],[Cost]]))*Exchange_Rate</f>
        <v>161.99</v>
      </c>
      <c r="Z43" s="6">
        <f>IF(Table5[[#This Row],[$+Warr]],Table5[[#This Row],[$+Warr]]/Table5[[#This Row],[SizTB]],"")</f>
        <v>40.497500000000002</v>
      </c>
      <c r="AA43" s="6">
        <f>IFERROR(Table5[[#This Row],[$PerTB]]/CompareWarrYrs,"")</f>
        <v>8.0995000000000008</v>
      </c>
      <c r="AB43" s="6">
        <f>IF(OR(Table5[[#This Row],[$ TB/year]]="",Table5[[#This Row],[Energy$yearPerTB]]=""),"",Table5[[#This Row],[$ TB/year]]+Table5[[#This Row],[Energy$yearPerTB]])</f>
        <v>9.7814302000000009</v>
      </c>
      <c r="AC43" s="155">
        <v>30</v>
      </c>
      <c r="AD43" s="156">
        <v>34</v>
      </c>
      <c r="AE43" s="40"/>
    </row>
    <row r="44" spans="1:31" x14ac:dyDescent="0.25">
      <c r="A44" s="1">
        <v>43531</v>
      </c>
      <c r="B44" t="s">
        <v>10</v>
      </c>
      <c r="C44" s="95" t="s">
        <v>18</v>
      </c>
      <c r="D44" s="106" t="s">
        <v>125</v>
      </c>
      <c r="E44" s="81">
        <v>3.5</v>
      </c>
      <c r="F44" s="69">
        <v>6</v>
      </c>
      <c r="G44" s="42">
        <v>7200</v>
      </c>
      <c r="H44" s="5">
        <v>4.16</v>
      </c>
      <c r="I44" s="5"/>
      <c r="J44" s="61">
        <f>(Table5[[#This Row],[RPM]]/5400-1)</f>
        <v>0.33333333333333326</v>
      </c>
      <c r="K44" s="45">
        <v>214</v>
      </c>
      <c r="L44">
        <v>5</v>
      </c>
      <c r="M44" s="36">
        <v>600000</v>
      </c>
      <c r="N44">
        <v>300</v>
      </c>
      <c r="O44" s="36">
        <v>1200000</v>
      </c>
      <c r="P44" s="35">
        <v>1000000000000000</v>
      </c>
      <c r="Q44" s="53">
        <v>24</v>
      </c>
      <c r="R44" s="5">
        <v>9</v>
      </c>
      <c r="S44" s="5">
        <v>7.2</v>
      </c>
      <c r="T44" s="107">
        <v>0.6</v>
      </c>
      <c r="U44" s="110">
        <f>(((Table5[[#This Row],[Watts Active]]*Power_On_Hours_Year/1000)*Active_Duty_Cycle)+((Table5[[#This Row],[Watts Idle]]*Power_On_Hours_Year/1000)*(100%-Active_Duty_Cycle)))*CostPerKWH</f>
        <v>8.2836432000000002</v>
      </c>
      <c r="V44" s="141">
        <f>Table5[Energy$year]/Table5[[#This Row],[SizTB]]</f>
        <v>1.3806072</v>
      </c>
      <c r="W44" s="140">
        <v>224.96</v>
      </c>
      <c r="X44" s="6">
        <f>IF(Table5[[#This Row],[Cost]],Table5[[#This Row],[Cost]]/Table5[[#This Row],[SizTB]]*Exchange_Rate,"")</f>
        <v>37.493333333333332</v>
      </c>
      <c r="Y44" s="145">
        <f>Table5[[#This Row],[Cost]]+((CompareWarrYrs-Table5[[#This Row],[Warranty]])*(Incremental_Warr_Yr*Table5[[#This Row],[Cost]]))*Exchange_Rate</f>
        <v>224.96</v>
      </c>
      <c r="Z44" s="6">
        <f>IF(Table5[[#This Row],[$+Warr]],Table5[[#This Row],[$+Warr]]/Table5[[#This Row],[SizTB]],"")</f>
        <v>37.493333333333332</v>
      </c>
      <c r="AA44" s="6">
        <f>IFERROR(Table5[[#This Row],[$PerTB]]/CompareWarrYrs,"")</f>
        <v>7.4986666666666668</v>
      </c>
      <c r="AB44" s="6">
        <f>IF(OR(Table5[[#This Row],[$ TB/year]]="",Table5[[#This Row],[Energy$yearPerTB]]=""),"",Table5[[#This Row],[$ TB/year]]+Table5[[#This Row],[Energy$yearPerTB]])</f>
        <v>8.8792738666666668</v>
      </c>
      <c r="AC44" s="155">
        <v>30</v>
      </c>
      <c r="AD44" s="156">
        <v>34</v>
      </c>
      <c r="AE44" s="40"/>
    </row>
    <row r="45" spans="1:31" x14ac:dyDescent="0.25">
      <c r="A45" s="1">
        <v>43531</v>
      </c>
      <c r="B45" t="s">
        <v>10</v>
      </c>
      <c r="C45" s="95" t="s">
        <v>18</v>
      </c>
      <c r="D45" s="106" t="s">
        <v>125</v>
      </c>
      <c r="E45" s="81">
        <v>3.5</v>
      </c>
      <c r="F45" s="69">
        <v>8</v>
      </c>
      <c r="G45" s="42">
        <v>7200</v>
      </c>
      <c r="H45" s="5">
        <v>4.16</v>
      </c>
      <c r="I45" s="5"/>
      <c r="J45" s="61">
        <f>(Table5[[#This Row],[RPM]]/5400-1)</f>
        <v>0.33333333333333326</v>
      </c>
      <c r="K45" s="45">
        <v>210</v>
      </c>
      <c r="L45">
        <v>5</v>
      </c>
      <c r="M45" s="36">
        <v>300000</v>
      </c>
      <c r="N45">
        <v>300</v>
      </c>
      <c r="O45" s="36">
        <v>1000000</v>
      </c>
      <c r="P45" s="35">
        <v>1000000000000000</v>
      </c>
      <c r="Q45" s="53">
        <f>12*2</f>
        <v>24</v>
      </c>
      <c r="R45" s="5">
        <v>6.8</v>
      </c>
      <c r="S45" s="5">
        <v>4.42</v>
      </c>
      <c r="T45" s="107">
        <v>0.8</v>
      </c>
      <c r="U45" s="110">
        <f>(((Table5[[#This Row],[Watts Active]]*Power_On_Hours_Year/1000)*Active_Duty_Cycle)+((Table5[[#This Row],[Watts Idle]]*Power_On_Hours_Year/1000)*(100%-Active_Duty_Cycle)))*CostPerKWH</f>
        <v>5.3646451200000005</v>
      </c>
      <c r="V45" s="141">
        <f>Table5[Energy$year]/Table5[[#This Row],[SizTB]]</f>
        <v>0.67058064000000006</v>
      </c>
      <c r="W45" s="140">
        <v>272.57</v>
      </c>
      <c r="X45" s="6">
        <f>IF(Table5[[#This Row],[Cost]],Table5[[#This Row],[Cost]]/Table5[[#This Row],[SizTB]]*Exchange_Rate,"")</f>
        <v>34.071249999999999</v>
      </c>
      <c r="Y45" s="145">
        <f>Table5[[#This Row],[Cost]]+((CompareWarrYrs-Table5[[#This Row],[Warranty]])*(Incremental_Warr_Yr*Table5[[#This Row],[Cost]]))*Exchange_Rate</f>
        <v>272.57</v>
      </c>
      <c r="Z45" s="6">
        <f>IF(Table5[[#This Row],[$+Warr]],Table5[[#This Row],[$+Warr]]/Table5[[#This Row],[SizTB]],"")</f>
        <v>34.071249999999999</v>
      </c>
      <c r="AA45" s="6">
        <f>IFERROR(Table5[[#This Row],[$PerTB]]/CompareWarrYrs,"")</f>
        <v>6.8142499999999995</v>
      </c>
      <c r="AB45" s="6">
        <f>IF(OR(Table5[[#This Row],[$ TB/year]]="",Table5[[#This Row],[Energy$yearPerTB]]=""),"",Table5[[#This Row],[$ TB/year]]+Table5[[#This Row],[Energy$yearPerTB]])</f>
        <v>7.4848306399999993</v>
      </c>
      <c r="AC45" s="155">
        <v>30</v>
      </c>
      <c r="AD45" s="156">
        <v>34</v>
      </c>
      <c r="AE45" s="40"/>
    </row>
    <row r="46" spans="1:31" x14ac:dyDescent="0.25">
      <c r="A46" s="1">
        <v>43531</v>
      </c>
      <c r="B46" t="s">
        <v>10</v>
      </c>
      <c r="C46" s="100" t="s">
        <v>18</v>
      </c>
      <c r="D46" s="106" t="s">
        <v>125</v>
      </c>
      <c r="E46" s="81">
        <v>3.5</v>
      </c>
      <c r="F46" s="69">
        <v>10</v>
      </c>
      <c r="G46" s="42">
        <v>7200</v>
      </c>
      <c r="H46" s="5">
        <v>4.16</v>
      </c>
      <c r="I46" s="5"/>
      <c r="J46" s="61">
        <f>(Table5[[#This Row],[RPM]]/5400-1)</f>
        <v>0.33333333333333326</v>
      </c>
      <c r="K46" s="45">
        <v>238</v>
      </c>
      <c r="L46">
        <v>5</v>
      </c>
      <c r="M46" s="36">
        <v>300000</v>
      </c>
      <c r="N46">
        <v>300</v>
      </c>
      <c r="O46" s="36"/>
      <c r="P46" s="35">
        <v>1000000000000000</v>
      </c>
      <c r="Q46" s="53">
        <f t="shared" ref="Q46:Q47" si="6">1.078*5+1.672*12</f>
        <v>25.454000000000001</v>
      </c>
      <c r="R46" s="5">
        <v>8.49</v>
      </c>
      <c r="S46" s="5">
        <v>5.07</v>
      </c>
      <c r="T46" s="107">
        <v>1.17</v>
      </c>
      <c r="U46" s="110">
        <f>(((Table5[[#This Row],[Watts Active]]*Power_On_Hours_Year/1000)*Active_Duty_Cycle)+((Table5[[#This Row],[Watts Idle]]*Power_On_Hours_Year/1000)*(100%-Active_Duty_Cycle)))*CostPerKWH</f>
        <v>6.3047728800000007</v>
      </c>
      <c r="V46" s="141">
        <f>Table5[Energy$year]/Table5[[#This Row],[SizTB]]</f>
        <v>0.63047728800000002</v>
      </c>
      <c r="W46" s="140">
        <v>366.33</v>
      </c>
      <c r="X46" s="6">
        <f>IF(Table5[[#This Row],[Cost]],Table5[[#This Row],[Cost]]/Table5[[#This Row],[SizTB]]*Exchange_Rate,"")</f>
        <v>36.632999999999996</v>
      </c>
      <c r="Y46" s="145">
        <f>Table5[[#This Row],[Cost]]+((CompareWarrYrs-Table5[[#This Row],[Warranty]])*(Incremental_Warr_Yr*Table5[[#This Row],[Cost]]))*Exchange_Rate</f>
        <v>366.33</v>
      </c>
      <c r="Z46" s="6">
        <f>IF(Table5[[#This Row],[$+Warr]],Table5[[#This Row],[$+Warr]]/Table5[[#This Row],[SizTB]],"")</f>
        <v>36.632999999999996</v>
      </c>
      <c r="AA46" s="6">
        <f>IFERROR(Table5[[#This Row],[$PerTB]]/CompareWarrYrs,"")</f>
        <v>7.3265999999999991</v>
      </c>
      <c r="AB46" s="6">
        <f>IF(OR(Table5[[#This Row],[$ TB/year]]="",Table5[[#This Row],[Energy$yearPerTB]]=""),"",Table5[[#This Row],[$ TB/year]]+Table5[[#This Row],[Energy$yearPerTB]])</f>
        <v>7.9570772879999989</v>
      </c>
      <c r="AC46" s="155">
        <v>20</v>
      </c>
      <c r="AD46" s="156">
        <v>28</v>
      </c>
      <c r="AE46" s="40"/>
    </row>
    <row r="47" spans="1:31" x14ac:dyDescent="0.25">
      <c r="A47" s="1">
        <v>43531</v>
      </c>
      <c r="B47" t="s">
        <v>10</v>
      </c>
      <c r="C47" s="100" t="s">
        <v>18</v>
      </c>
      <c r="D47" s="106" t="s">
        <v>125</v>
      </c>
      <c r="E47" s="81">
        <v>3.5</v>
      </c>
      <c r="F47" s="69">
        <v>12</v>
      </c>
      <c r="G47" s="42">
        <v>7200</v>
      </c>
      <c r="H47" s="5">
        <v>4.16</v>
      </c>
      <c r="I47" s="5"/>
      <c r="J47" s="61">
        <f>(Table5[[#This Row],[RPM]]/5400-1)</f>
        <v>0.33333333333333326</v>
      </c>
      <c r="K47" s="45">
        <v>238</v>
      </c>
      <c r="L47">
        <v>5</v>
      </c>
      <c r="M47" s="36">
        <v>300000</v>
      </c>
      <c r="N47">
        <v>300</v>
      </c>
      <c r="O47" s="36"/>
      <c r="P47" s="35">
        <v>1000000000000000</v>
      </c>
      <c r="Q47" s="53">
        <f t="shared" si="6"/>
        <v>25.454000000000001</v>
      </c>
      <c r="R47" s="5">
        <v>8.49</v>
      </c>
      <c r="S47" s="5">
        <v>5.07</v>
      </c>
      <c r="T47" s="107">
        <v>1.17</v>
      </c>
      <c r="U47" s="110">
        <f>(((Table5[[#This Row],[Watts Active]]*Power_On_Hours_Year/1000)*Active_Duty_Cycle)+((Table5[[#This Row],[Watts Idle]]*Power_On_Hours_Year/1000)*(100%-Active_Duty_Cycle)))*CostPerKWH</f>
        <v>6.3047728800000007</v>
      </c>
      <c r="V47" s="141">
        <f>Table5[Energy$year]/Table5[[#This Row],[SizTB]]</f>
        <v>0.52539774000000006</v>
      </c>
      <c r="W47" s="140">
        <v>460.99</v>
      </c>
      <c r="X47" s="6">
        <f>IF(Table5[[#This Row],[Cost]],Table5[[#This Row],[Cost]]/Table5[[#This Row],[SizTB]]*Exchange_Rate,"")</f>
        <v>38.415833333333332</v>
      </c>
      <c r="Y47" s="145">
        <f>Table5[[#This Row],[Cost]]+((CompareWarrYrs-Table5[[#This Row],[Warranty]])*(Incremental_Warr_Yr*Table5[[#This Row],[Cost]]))*Exchange_Rate</f>
        <v>460.99</v>
      </c>
      <c r="Z47" s="6">
        <f>IF(Table5[[#This Row],[$+Warr]],Table5[[#This Row],[$+Warr]]/Table5[[#This Row],[SizTB]],"")</f>
        <v>38.415833333333332</v>
      </c>
      <c r="AA47" s="6">
        <f>IFERROR(Table5[[#This Row],[$PerTB]]/CompareWarrYrs,"")</f>
        <v>7.6831666666666667</v>
      </c>
      <c r="AB47" s="6">
        <f>IF(OR(Table5[[#This Row],[$ TB/year]]="",Table5[[#This Row],[Energy$yearPerTB]]=""),"",Table5[[#This Row],[$ TB/year]]+Table5[[#This Row],[Energy$yearPerTB]])</f>
        <v>8.2085644066666674</v>
      </c>
      <c r="AC47" s="155">
        <v>20</v>
      </c>
      <c r="AD47" s="156">
        <v>28</v>
      </c>
      <c r="AE47" s="40"/>
    </row>
    <row r="48" spans="1:31" x14ac:dyDescent="0.25">
      <c r="A48" s="1">
        <v>43531</v>
      </c>
      <c r="B48" t="s">
        <v>10</v>
      </c>
      <c r="C48" s="100" t="s">
        <v>18</v>
      </c>
      <c r="D48" s="106" t="s">
        <v>125</v>
      </c>
      <c r="E48" s="81">
        <v>3.5</v>
      </c>
      <c r="F48" s="69">
        <v>14</v>
      </c>
      <c r="G48" s="42">
        <v>7200</v>
      </c>
      <c r="H48" s="5">
        <v>4.16</v>
      </c>
      <c r="I48" s="5"/>
      <c r="J48" s="61">
        <f>(Table5[[#This Row],[RPM]]/5400-1)</f>
        <v>0.33333333333333326</v>
      </c>
      <c r="K48" s="45">
        <v>238</v>
      </c>
      <c r="L48">
        <v>5</v>
      </c>
      <c r="M48" s="36">
        <v>300000</v>
      </c>
      <c r="N48">
        <v>300</v>
      </c>
      <c r="O48" s="36"/>
      <c r="P48" s="35">
        <v>1000000000000000</v>
      </c>
      <c r="Q48" s="53">
        <f>1.078*5+1.672*12</f>
        <v>25.454000000000001</v>
      </c>
      <c r="R48" s="5">
        <v>8.49</v>
      </c>
      <c r="S48" s="5">
        <v>5.07</v>
      </c>
      <c r="T48" s="107">
        <v>1.17</v>
      </c>
      <c r="U48" s="110">
        <f>(((Table5[[#This Row],[Watts Active]]*Power_On_Hours_Year/1000)*Active_Duty_Cycle)+((Table5[[#This Row],[Watts Idle]]*Power_On_Hours_Year/1000)*(100%-Active_Duty_Cycle)))*CostPerKWH</f>
        <v>6.3047728800000007</v>
      </c>
      <c r="V48" s="141">
        <f>Table5[Energy$year]/Table5[[#This Row],[SizTB]]</f>
        <v>0.45034092000000003</v>
      </c>
      <c r="W48" s="140">
        <f>507.99+7.52</f>
        <v>515.51</v>
      </c>
      <c r="X48" s="6">
        <f>IF(Table5[[#This Row],[Cost]],Table5[[#This Row],[Cost]]/Table5[[#This Row],[SizTB]]*Exchange_Rate,"")</f>
        <v>36.822142857142858</v>
      </c>
      <c r="Y48" s="145">
        <f>Table5[[#This Row],[Cost]]+((CompareWarrYrs-Table5[[#This Row],[Warranty]])*(Incremental_Warr_Yr*Table5[[#This Row],[Cost]]))*Exchange_Rate</f>
        <v>515.51</v>
      </c>
      <c r="Z48" s="6">
        <f>IF(Table5[[#This Row],[$+Warr]],Table5[[#This Row],[$+Warr]]/Table5[[#This Row],[SizTB]],"")</f>
        <v>36.822142857142858</v>
      </c>
      <c r="AA48" s="6">
        <f>IFERROR(Table5[[#This Row],[$PerTB]]/CompareWarrYrs,"")</f>
        <v>7.3644285714285713</v>
      </c>
      <c r="AB48" s="6">
        <f>IF(OR(Table5[[#This Row],[$ TB/year]]="",Table5[[#This Row],[Energy$yearPerTB]]=""),"",Table5[[#This Row],[$ TB/year]]+Table5[[#This Row],[Energy$yearPerTB]])</f>
        <v>7.8147694914285717</v>
      </c>
      <c r="AC48" s="155">
        <v>20</v>
      </c>
      <c r="AD48" s="156">
        <v>28</v>
      </c>
      <c r="AE48" s="40"/>
    </row>
    <row r="49" spans="1:31" x14ac:dyDescent="0.25">
      <c r="A49" s="1">
        <v>43114</v>
      </c>
      <c r="B49" t="s">
        <v>10</v>
      </c>
      <c r="C49" s="95" t="s">
        <v>144</v>
      </c>
      <c r="D49" s="106" t="s">
        <v>49</v>
      </c>
      <c r="E49" s="81">
        <v>3.5</v>
      </c>
      <c r="F49" s="69">
        <v>4</v>
      </c>
      <c r="G49" s="42">
        <v>7200</v>
      </c>
      <c r="H49" s="5">
        <v>4.16</v>
      </c>
      <c r="I49" s="5"/>
      <c r="J49" s="61">
        <f>(Table5[[#This Row],[RPM]]/5400-1)</f>
        <v>0.33333333333333326</v>
      </c>
      <c r="K49" s="45">
        <v>175</v>
      </c>
      <c r="L49">
        <v>5</v>
      </c>
      <c r="M49" s="36">
        <v>600000</v>
      </c>
      <c r="N49">
        <v>550</v>
      </c>
      <c r="O49" s="36">
        <v>2000000</v>
      </c>
      <c r="P49" s="35">
        <v>1000000000000000</v>
      </c>
      <c r="Q49" s="53">
        <f>12*2.6</f>
        <v>31.200000000000003</v>
      </c>
      <c r="R49" s="5">
        <v>11.27</v>
      </c>
      <c r="S49" s="5">
        <v>6.73</v>
      </c>
      <c r="T49" s="107"/>
      <c r="U49" s="110">
        <f>(((Table5[[#This Row],[Watts Active]]*Power_On_Hours_Year/1000)*Active_Duty_Cycle)+((Table5[[#This Row],[Watts Idle]]*Power_On_Hours_Year/1000)*(100%-Active_Duty_Cycle)))*CostPerKWH</f>
        <v>8.3691093600000013</v>
      </c>
      <c r="V49" s="141">
        <f>Table5[Energy$year]/Table5[[#This Row],[SizTB]]</f>
        <v>2.0922773400000003</v>
      </c>
      <c r="W49" s="116">
        <v>134.99</v>
      </c>
      <c r="X49" s="6">
        <f>IF(Table5[[#This Row],[Cost]],Table5[[#This Row],[Cost]]/Table5[[#This Row],[SizTB]]*Exchange_Rate,"")</f>
        <v>33.747500000000002</v>
      </c>
      <c r="Y49" s="145">
        <f>Table5[[#This Row],[Cost]]+((CompareWarrYrs-Table5[[#This Row],[Warranty]])*(Incremental_Warr_Yr*Table5[[#This Row],[Cost]]))</f>
        <v>134.99</v>
      </c>
      <c r="Z49" s="6">
        <f>IF(Table5[[#This Row],[$+Warr]],Table5[[#This Row],[$+Warr]]/Table5[[#This Row],[SizTB]],"")</f>
        <v>33.747500000000002</v>
      </c>
      <c r="AA49" s="6">
        <f>IFERROR(Table5[[#This Row],[$PerTB]]/CompareWarrYrs,"")</f>
        <v>6.7495000000000003</v>
      </c>
      <c r="AB49" s="6">
        <f>IF(OR(Table5[[#This Row],[$ TB/year]]="",Table5[[#This Row],[Energy$yearPerTB]]=""),"",Table5[[#This Row],[$ TB/year]]+Table5[[#This Row],[Energy$yearPerTB]])</f>
        <v>8.8417773400000002</v>
      </c>
      <c r="AC49" s="155"/>
      <c r="AD49" s="156"/>
      <c r="AE49" s="40"/>
    </row>
    <row r="50" spans="1:31" x14ac:dyDescent="0.25">
      <c r="A50" s="1">
        <v>43127</v>
      </c>
      <c r="B50" t="s">
        <v>10</v>
      </c>
      <c r="C50" s="95" t="s">
        <v>101</v>
      </c>
      <c r="D50" s="106" t="s">
        <v>49</v>
      </c>
      <c r="E50" s="81">
        <v>2.5</v>
      </c>
      <c r="F50" s="69">
        <v>1.2</v>
      </c>
      <c r="G50" s="42">
        <v>10500</v>
      </c>
      <c r="H50" s="5">
        <v>2.9</v>
      </c>
      <c r="I50" s="5"/>
      <c r="J50" s="61">
        <f>(Table5[[#This Row],[RPM]]/5400-1)</f>
        <v>0.94444444444444442</v>
      </c>
      <c r="K50" s="45">
        <v>270</v>
      </c>
      <c r="L50">
        <v>5</v>
      </c>
      <c r="M50" s="36"/>
      <c r="N50">
        <v>550</v>
      </c>
      <c r="O50" s="36">
        <v>2000000</v>
      </c>
      <c r="P50" s="35">
        <v>1E+16</v>
      </c>
      <c r="Q50" s="53">
        <f>5*0.91+12*1.44</f>
        <v>21.830000000000002</v>
      </c>
      <c r="R50" s="5">
        <v>8.75</v>
      </c>
      <c r="S50" s="5">
        <v>4.9000000000000004</v>
      </c>
      <c r="T50" s="107">
        <v>3.63</v>
      </c>
      <c r="U50" s="110">
        <f>(((Table5[[#This Row],[Watts Active]]*Power_On_Hours_Year/1000)*Active_Duty_Cycle)+((Table5[[#This Row],[Watts Idle]]*Power_On_Hours_Year/1000)*(100%-Active_Duty_Cycle)))*CostPerKWH</f>
        <v>6.2127324000000002</v>
      </c>
      <c r="V50" s="141">
        <f>Table5[Energy$year]/Table5[[#This Row],[SizTB]]</f>
        <v>5.1772770000000001</v>
      </c>
      <c r="W50" s="140">
        <v>295.95</v>
      </c>
      <c r="X50" s="6">
        <f>IF(Table5[[#This Row],[Cost]],Table5[[#This Row],[Cost]]/Table5[[#This Row],[SizTB]]*Exchange_Rate,"")</f>
        <v>246.625</v>
      </c>
      <c r="Y50" s="145">
        <f>Table5[[#This Row],[Cost]]+((CompareWarrYrs-Table5[[#This Row],[Warranty]])*(Incremental_Warr_Yr*Table5[[#This Row],[Cost]]))*Exchange_Rate</f>
        <v>295.95</v>
      </c>
      <c r="Z50" s="6">
        <f>IF(Table5[[#This Row],[$+Warr]],Table5[[#This Row],[$+Warr]]/Table5[[#This Row],[SizTB]],"")</f>
        <v>246.625</v>
      </c>
      <c r="AA50" s="6">
        <f>IFERROR(Table5[[#This Row],[$PerTB]]/CompareWarrYrs,"")</f>
        <v>49.325000000000003</v>
      </c>
      <c r="AB50" s="6">
        <f>IF(OR(Table5[[#This Row],[$ TB/year]]="",Table5[[#This Row],[Energy$yearPerTB]]=""),"",Table5[[#This Row],[$ TB/year]]+Table5[[#This Row],[Energy$yearPerTB]])</f>
        <v>54.502277000000007</v>
      </c>
      <c r="AC50" s="155">
        <v>31</v>
      </c>
      <c r="AD50" s="156"/>
      <c r="AE50" s="40" t="s">
        <v>94</v>
      </c>
    </row>
    <row r="51" spans="1:31" x14ac:dyDescent="0.25">
      <c r="A51" s="1">
        <v>43127</v>
      </c>
      <c r="B51" t="s">
        <v>10</v>
      </c>
      <c r="C51" s="95" t="s">
        <v>101</v>
      </c>
      <c r="D51" s="98" t="s">
        <v>49</v>
      </c>
      <c r="E51" s="81">
        <v>2.5</v>
      </c>
      <c r="F51" s="69">
        <v>1.8</v>
      </c>
      <c r="G51" s="42">
        <v>10500</v>
      </c>
      <c r="H51" s="5">
        <v>2.9</v>
      </c>
      <c r="I51" s="5"/>
      <c r="J51" s="61">
        <f>(Table5[[#This Row],[RPM]]/5400-1)</f>
        <v>0.94444444444444442</v>
      </c>
      <c r="K51" s="45">
        <v>270</v>
      </c>
      <c r="L51">
        <v>5</v>
      </c>
      <c r="M51" s="36"/>
      <c r="N51">
        <v>550</v>
      </c>
      <c r="O51" s="36">
        <v>2000000</v>
      </c>
      <c r="P51" s="35">
        <v>1E+16</v>
      </c>
      <c r="Q51" s="53">
        <f>5*0.91+12*1.42</f>
        <v>21.59</v>
      </c>
      <c r="R51" s="5">
        <v>6.95</v>
      </c>
      <c r="S51" s="5">
        <v>4.26</v>
      </c>
      <c r="T51" s="107">
        <v>4.2300000000000004</v>
      </c>
      <c r="U51" s="110">
        <f>(((Table5[[#This Row],[Watts Active]]*Power_On_Hours_Year/1000)*Active_Duty_Cycle)+((Table5[[#This Row],[Watts Idle]]*Power_On_Hours_Year/1000)*(100%-Active_Duty_Cycle)))*CostPerKWH</f>
        <v>5.2572645600000003</v>
      </c>
      <c r="V51" s="141">
        <f>Table5[Energy$year]/Table5[[#This Row],[SizTB]]</f>
        <v>2.9207025333333334</v>
      </c>
      <c r="W51" s="140">
        <v>379.99</v>
      </c>
      <c r="X51" s="6">
        <f>IF(Table5[[#This Row],[Cost]],Table5[[#This Row],[Cost]]/Table5[[#This Row],[SizTB]]*Exchange_Rate,"")</f>
        <v>211.10555555555555</v>
      </c>
      <c r="Y51" s="145">
        <f>Table5[[#This Row],[Cost]]+((CompareWarrYrs-Table5[[#This Row],[Warranty]])*(Incremental_Warr_Yr*Table5[[#This Row],[Cost]]))*Exchange_Rate</f>
        <v>379.99</v>
      </c>
      <c r="Z51" s="6">
        <f>IF(Table5[[#This Row],[$+Warr]],Table5[[#This Row],[$+Warr]]/Table5[[#This Row],[SizTB]],"")</f>
        <v>211.10555555555555</v>
      </c>
      <c r="AA51" s="6">
        <f>IFERROR(Table5[[#This Row],[$PerTB]]/CompareWarrYrs,"")</f>
        <v>42.221111111111114</v>
      </c>
      <c r="AB51" s="6">
        <f>IF(OR(Table5[[#This Row],[$ TB/year]]="",Table5[[#This Row],[Energy$yearPerTB]]=""),"",Table5[[#This Row],[$ TB/year]]+Table5[[#This Row],[Energy$yearPerTB]])</f>
        <v>45.141813644444447</v>
      </c>
      <c r="AC51" s="155">
        <v>31</v>
      </c>
      <c r="AD51" s="156"/>
      <c r="AE51" s="40" t="s">
        <v>94</v>
      </c>
    </row>
    <row r="52" spans="1:31" x14ac:dyDescent="0.25">
      <c r="A52" s="1">
        <v>43127</v>
      </c>
      <c r="B52" t="s">
        <v>10</v>
      </c>
      <c r="C52" s="95" t="s">
        <v>101</v>
      </c>
      <c r="D52" s="98" t="s">
        <v>49</v>
      </c>
      <c r="E52" s="81">
        <v>2.5</v>
      </c>
      <c r="F52" s="69">
        <v>2.4</v>
      </c>
      <c r="G52" s="42">
        <v>10500</v>
      </c>
      <c r="H52" s="5">
        <v>2.9</v>
      </c>
      <c r="I52" s="5"/>
      <c r="J52" s="61">
        <f>(Table5[[#This Row],[RPM]]/5400-1)</f>
        <v>0.94444444444444442</v>
      </c>
      <c r="K52" s="45">
        <v>270</v>
      </c>
      <c r="L52">
        <v>5</v>
      </c>
      <c r="M52" s="36"/>
      <c r="N52">
        <v>550</v>
      </c>
      <c r="O52" s="36">
        <v>2000000</v>
      </c>
      <c r="P52" s="35">
        <v>1E+16</v>
      </c>
      <c r="Q52" s="53">
        <f>5*0.91+12*1.54</f>
        <v>23.03</v>
      </c>
      <c r="R52" s="5">
        <v>8.57</v>
      </c>
      <c r="S52" s="5">
        <v>4.9000000000000004</v>
      </c>
      <c r="T52" s="107">
        <v>4.88</v>
      </c>
      <c r="U52" s="110">
        <f>(((Table5[[#This Row],[Watts Active]]*Power_On_Hours_Year/1000)*Active_Duty_Cycle)+((Table5[[#This Row],[Watts Idle]]*Power_On_Hours_Year/1000)*(100%-Active_Duty_Cycle)))*CostPerKWH</f>
        <v>6.1732864799999998</v>
      </c>
      <c r="V52" s="141">
        <f>Table5[Energy$year]/Table5[[#This Row],[SizTB]]</f>
        <v>2.5722027000000001</v>
      </c>
      <c r="W52" s="140">
        <v>484.57</v>
      </c>
      <c r="X52" s="6">
        <f>IF(Table5[[#This Row],[Cost]],Table5[[#This Row],[Cost]]/Table5[[#This Row],[SizTB]]*Exchange_Rate,"")</f>
        <v>201.90416666666667</v>
      </c>
      <c r="Y52" s="145">
        <f>Table5[[#This Row],[Cost]]+((CompareWarrYrs-Table5[[#This Row],[Warranty]])*(Incremental_Warr_Yr*Table5[[#This Row],[Cost]]))*Exchange_Rate</f>
        <v>484.57</v>
      </c>
      <c r="Z52" s="6">
        <f>IF(Table5[[#This Row],[$+Warr]],Table5[[#This Row],[$+Warr]]/Table5[[#This Row],[SizTB]],"")</f>
        <v>201.90416666666667</v>
      </c>
      <c r="AA52" s="6">
        <f>IFERROR(Table5[[#This Row],[$PerTB]]/CompareWarrYrs,"")</f>
        <v>40.380833333333335</v>
      </c>
      <c r="AB52" s="6">
        <f>IF(OR(Table5[[#This Row],[$ TB/year]]="",Table5[[#This Row],[Energy$yearPerTB]]=""),"",Table5[[#This Row],[$ TB/year]]+Table5[[#This Row],[Energy$yearPerTB]])</f>
        <v>42.953036033333333</v>
      </c>
      <c r="AC52" s="155">
        <v>31</v>
      </c>
      <c r="AD52" s="156"/>
      <c r="AE52" s="40" t="s">
        <v>94</v>
      </c>
    </row>
    <row r="53" spans="1:31" x14ac:dyDescent="0.25">
      <c r="A53" s="1">
        <v>43458</v>
      </c>
      <c r="B53" t="s">
        <v>10</v>
      </c>
      <c r="C53" s="95" t="s">
        <v>102</v>
      </c>
      <c r="D53" s="98" t="s">
        <v>49</v>
      </c>
      <c r="E53" s="81">
        <v>3.5</v>
      </c>
      <c r="F53" s="69">
        <v>0.9</v>
      </c>
      <c r="G53" s="42">
        <v>15000</v>
      </c>
      <c r="H53" s="5">
        <v>2</v>
      </c>
      <c r="I53" s="5"/>
      <c r="J53" s="61">
        <f>(Table5[[#This Row],[RPM]]/5400-1)</f>
        <v>1.7777777777777777</v>
      </c>
      <c r="K53" s="45">
        <v>215</v>
      </c>
      <c r="L53">
        <v>5</v>
      </c>
      <c r="M53" s="36"/>
      <c r="N53">
        <v>550</v>
      </c>
      <c r="O53" s="36">
        <v>2000000</v>
      </c>
      <c r="P53" s="35">
        <v>1E+16</v>
      </c>
      <c r="Q53" s="53"/>
      <c r="R53" s="5">
        <v>7.6</v>
      </c>
      <c r="S53" s="5">
        <v>5.7</v>
      </c>
      <c r="T53" s="107"/>
      <c r="U53" s="110">
        <f>(((Table5[[#This Row],[Watts Active]]*Power_On_Hours_Year/1000)*Active_Duty_Cycle)+((Table5[[#This Row],[Watts Idle]]*Power_On_Hours_Year/1000)*(100%-Active_Duty_Cycle)))*CostPerKWH</f>
        <v>6.6619776000000002</v>
      </c>
      <c r="V53" s="141">
        <f>Table5[Energy$year]/Table5[[#This Row],[SizTB]]</f>
        <v>7.4021973333333335</v>
      </c>
      <c r="W53" s="140">
        <v>307.02999999999997</v>
      </c>
      <c r="X53" s="6">
        <f>IF(Table5[[#This Row],[Cost]],Table5[[#This Row],[Cost]]/Table5[[#This Row],[SizTB]]*Exchange_Rate,"")</f>
        <v>341.14444444444439</v>
      </c>
      <c r="Y53" s="145">
        <f>Table5[[#This Row],[Cost]]+((CompareWarrYrs-Table5[[#This Row],[Warranty]])*(Incremental_Warr_Yr*Table5[[#This Row],[Cost]]))*Exchange_Rate</f>
        <v>307.02999999999997</v>
      </c>
      <c r="Z53" s="6">
        <f>IF(Table5[[#This Row],[$+Warr]],Table5[[#This Row],[$+Warr]]/Table5[[#This Row],[SizTB]],"")</f>
        <v>341.14444444444439</v>
      </c>
      <c r="AA53" s="6">
        <f>IFERROR(Table5[[#This Row],[$PerTB]]/CompareWarrYrs,"")</f>
        <v>68.228888888888875</v>
      </c>
      <c r="AB53" s="6">
        <f>IF(OR(Table5[[#This Row],[$ TB/year]]="",Table5[[#This Row],[Energy$yearPerTB]]=""),"",Table5[[#This Row],[$ TB/year]]+Table5[[#This Row],[Energy$yearPerTB]])</f>
        <v>75.631086222222208</v>
      </c>
      <c r="AC53" s="155"/>
      <c r="AD53" s="156"/>
      <c r="AE53" s="40" t="s">
        <v>44</v>
      </c>
    </row>
    <row r="54" spans="1:31" x14ac:dyDescent="0.25">
      <c r="A54" s="1">
        <v>43166</v>
      </c>
      <c r="B54" t="s">
        <v>10</v>
      </c>
      <c r="C54" s="95" t="s">
        <v>104</v>
      </c>
      <c r="D54" s="98" t="s">
        <v>108</v>
      </c>
      <c r="E54" s="81">
        <v>3.5</v>
      </c>
      <c r="F54" s="69">
        <v>8</v>
      </c>
      <c r="G54" s="42">
        <v>5900</v>
      </c>
      <c r="H54" s="5"/>
      <c r="I54" s="5"/>
      <c r="J54" s="61">
        <f>(Table5[[#This Row],[RPM]]/5400-1)</f>
        <v>9.259259259259256E-2</v>
      </c>
      <c r="K54" s="45">
        <v>190</v>
      </c>
      <c r="L54">
        <v>3</v>
      </c>
      <c r="M54" s="36">
        <v>300000</v>
      </c>
      <c r="N54">
        <v>180</v>
      </c>
      <c r="O54" s="36">
        <v>800000</v>
      </c>
      <c r="P54" s="35">
        <f t="shared" ref="P54" si="7">10^14</f>
        <v>100000000000000</v>
      </c>
      <c r="Q54" s="53">
        <v>24</v>
      </c>
      <c r="R54" s="5">
        <v>5.3</v>
      </c>
      <c r="S54" s="5">
        <v>3.7</v>
      </c>
      <c r="T54" s="107">
        <v>0.99</v>
      </c>
      <c r="U54" s="110">
        <f>(((Table5[[#This Row],[Watts Active]]*Power_On_Hours_Year/1000)*Active_Duty_Cycle)+((Table5[[#This Row],[Watts Idle]]*Power_On_Hours_Year/1000)*(100%-Active_Duty_Cycle)))*CostPerKWH</f>
        <v>4.4047944000000001</v>
      </c>
      <c r="V54" s="141">
        <f>Table5[Energy$year]/Table5[[#This Row],[SizTB]]</f>
        <v>0.55059930000000001</v>
      </c>
      <c r="W54" s="140">
        <v>281.99</v>
      </c>
      <c r="X54" s="6">
        <f>IF(Table5[[#This Row],[Cost]],Table5[[#This Row],[Cost]]/Table5[[#This Row],[SizTB]]*Exchange_Rate,"")</f>
        <v>35.248750000000001</v>
      </c>
      <c r="Y54" s="145">
        <f>Table5[[#This Row],[Cost]]+((CompareWarrYrs-Table5[[#This Row],[Warranty]])*(Incremental_Warr_Yr*Table5[[#This Row],[Cost]]))*Exchange_Rate</f>
        <v>344.02780000000001</v>
      </c>
      <c r="Z54" s="6">
        <f>IF(Table5[[#This Row],[$+Warr]],Table5[[#This Row],[$+Warr]]/Table5[[#This Row],[SizTB]],"")</f>
        <v>43.003475000000002</v>
      </c>
      <c r="AA54" s="6">
        <f>IFERROR(Table5[[#This Row],[$PerTB]]/CompareWarrYrs,"")</f>
        <v>8.600695</v>
      </c>
      <c r="AB54" s="6">
        <f>IF(OR(Table5[[#This Row],[$ TB/year]]="",Table5[[#This Row],[Energy$yearPerTB]]=""),"",Table5[[#This Row],[$ TB/year]]+Table5[[#This Row],[Energy$yearPerTB]])</f>
        <v>9.1512943</v>
      </c>
      <c r="AC54" s="155"/>
      <c r="AD54" s="156"/>
      <c r="AE54" s="93" t="s">
        <v>119</v>
      </c>
    </row>
    <row r="55" spans="1:31" x14ac:dyDescent="0.25">
      <c r="A55" s="1">
        <v>43114</v>
      </c>
      <c r="B55" t="s">
        <v>10</v>
      </c>
      <c r="C55" s="95" t="s">
        <v>103</v>
      </c>
      <c r="D55" s="98" t="s">
        <v>49</v>
      </c>
      <c r="E55" s="81">
        <v>3.5</v>
      </c>
      <c r="F55" s="99">
        <v>1</v>
      </c>
      <c r="G55" s="42">
        <v>7200</v>
      </c>
      <c r="H55" s="5">
        <v>4.16</v>
      </c>
      <c r="I55" s="5"/>
      <c r="J55" s="61">
        <f>(Table5[[#This Row],[RPM]]/5400-1)</f>
        <v>0.33333333333333326</v>
      </c>
      <c r="K55" s="45">
        <v>194</v>
      </c>
      <c r="L55">
        <v>5</v>
      </c>
      <c r="M55" s="36"/>
      <c r="N55">
        <v>550</v>
      </c>
      <c r="O55" s="36">
        <v>2000000</v>
      </c>
      <c r="P55" s="35">
        <v>1000000000000000</v>
      </c>
      <c r="Q55" s="53"/>
      <c r="R55" s="5">
        <v>7</v>
      </c>
      <c r="S55" s="5">
        <v>4.7</v>
      </c>
      <c r="T55" s="107"/>
      <c r="U55" s="110">
        <f>(((Table5[[#This Row],[Watts Active]]*Power_On_Hours_Year/1000)*Active_Duty_Cycle)+((Table5[[#This Row],[Watts Idle]]*Power_On_Hours_Year/1000)*(100%-Active_Duty_Cycle)))*CostPerKWH</f>
        <v>5.6539152000000001</v>
      </c>
      <c r="V55" s="141">
        <f>Table5[Energy$year]/Table5[[#This Row],[SizTB]]</f>
        <v>5.6539152000000001</v>
      </c>
      <c r="W55" s="140">
        <v>165</v>
      </c>
      <c r="X55" s="6">
        <f>IF(Table5[[#This Row],[Cost]],Table5[[#This Row],[Cost]]/Table5[[#This Row],[SizTB]]*Exchange_Rate,"")</f>
        <v>165</v>
      </c>
      <c r="Y55" s="145">
        <f>Table5[[#This Row],[Cost]]+((CompareWarrYrs-Table5[[#This Row],[Warranty]])*(Incremental_Warr_Yr*Table5[[#This Row],[Cost]]))*Exchange_Rate</f>
        <v>165</v>
      </c>
      <c r="Z55" s="6">
        <f>IF(Table5[[#This Row],[$+Warr]],Table5[[#This Row],[$+Warr]]/Table5[[#This Row],[SizTB]],"")</f>
        <v>165</v>
      </c>
      <c r="AA55" s="6">
        <f>IFERROR(Table5[[#This Row],[$PerTB]]/CompareWarrYrs,"")</f>
        <v>33</v>
      </c>
      <c r="AB55" s="6">
        <f>IF(OR(Table5[[#This Row],[$ TB/year]]="",Table5[[#This Row],[Energy$yearPerTB]]=""),"",Table5[[#This Row],[$ TB/year]]+Table5[[#This Row],[Energy$yearPerTB]])</f>
        <v>38.6539152</v>
      </c>
      <c r="AC55" s="155"/>
      <c r="AD55" s="156"/>
      <c r="AE55" s="40"/>
    </row>
    <row r="56" spans="1:31" x14ac:dyDescent="0.25">
      <c r="A56" s="1">
        <v>43027</v>
      </c>
      <c r="B56" t="s">
        <v>10</v>
      </c>
      <c r="C56" s="95" t="s">
        <v>103</v>
      </c>
      <c r="D56" s="98" t="s">
        <v>49</v>
      </c>
      <c r="E56" s="81">
        <v>3.5</v>
      </c>
      <c r="F56" s="99">
        <v>2</v>
      </c>
      <c r="G56" s="42">
        <v>7200</v>
      </c>
      <c r="H56" s="5">
        <v>4.16</v>
      </c>
      <c r="I56" s="5"/>
      <c r="J56" s="61">
        <f>(Table5[[#This Row],[RPM]]/5400-1)</f>
        <v>0.33333333333333326</v>
      </c>
      <c r="K56" s="45">
        <v>194</v>
      </c>
      <c r="L56">
        <v>5</v>
      </c>
      <c r="M56" s="36"/>
      <c r="N56">
        <v>550</v>
      </c>
      <c r="O56" s="36">
        <v>2000000</v>
      </c>
      <c r="P56" s="35">
        <v>1000000000000000</v>
      </c>
      <c r="Q56" s="53"/>
      <c r="R56" s="5">
        <v>7</v>
      </c>
      <c r="S56" s="5">
        <v>4.7</v>
      </c>
      <c r="T56" s="107"/>
      <c r="U56" s="110">
        <f>(((Table5[[#This Row],[Watts Active]]*Power_On_Hours_Year/1000)*Active_Duty_Cycle)+((Table5[[#This Row],[Watts Idle]]*Power_On_Hours_Year/1000)*(100%-Active_Duty_Cycle)))*CostPerKWH</f>
        <v>5.6539152000000001</v>
      </c>
      <c r="V56" s="141">
        <f>Table5[Energy$year]/Table5[[#This Row],[SizTB]]</f>
        <v>2.8269576000000001</v>
      </c>
      <c r="W56" s="139">
        <v>306.60000000000002</v>
      </c>
      <c r="X56" s="6">
        <f>IF(Table5[[#This Row],[Cost]],Table5[[#This Row],[Cost]]/Table5[[#This Row],[SizTB]]*Exchange_Rate,"")</f>
        <v>153.30000000000001</v>
      </c>
      <c r="Y56" s="145">
        <f>Table5[[#This Row],[Cost]]+((CompareWarrYrs-Table5[[#This Row],[Warranty]])*(Incremental_Warr_Yr*Table5[[#This Row],[Cost]]))*Exchange_Rate</f>
        <v>306.60000000000002</v>
      </c>
      <c r="Z56" s="6">
        <f>IF(Table5[[#This Row],[$+Warr]],Table5[[#This Row],[$+Warr]]/Table5[[#This Row],[SizTB]],"")</f>
        <v>153.30000000000001</v>
      </c>
      <c r="AA56" s="6">
        <f>IFERROR(Table5[[#This Row],[$PerTB]]/CompareWarrYrs,"")</f>
        <v>30.660000000000004</v>
      </c>
      <c r="AB56" s="6">
        <f>IF(OR(Table5[[#This Row],[$ TB/year]]="",Table5[[#This Row],[Energy$yearPerTB]]=""),"",Table5[[#This Row],[$ TB/year]]+Table5[[#This Row],[Energy$yearPerTB]])</f>
        <v>33.486957600000004</v>
      </c>
      <c r="AC56" s="155"/>
      <c r="AD56" s="156"/>
      <c r="AE56" s="40"/>
    </row>
    <row r="57" spans="1:31" x14ac:dyDescent="0.25">
      <c r="A57" s="1">
        <v>43298</v>
      </c>
      <c r="B57" t="s">
        <v>10</v>
      </c>
      <c r="C57" s="95" t="s">
        <v>105</v>
      </c>
      <c r="D57" s="98" t="s">
        <v>49</v>
      </c>
      <c r="E57" s="81">
        <v>2.5</v>
      </c>
      <c r="F57" s="69">
        <v>1</v>
      </c>
      <c r="G57" s="42">
        <v>7200</v>
      </c>
      <c r="H57" s="5">
        <v>4.16</v>
      </c>
      <c r="I57" s="5"/>
      <c r="J57" s="61">
        <f>(Table5[[#This Row],[RPM]]/5400-1)</f>
        <v>0.33333333333333326</v>
      </c>
      <c r="K57" s="45">
        <v>136</v>
      </c>
      <c r="L57">
        <v>5</v>
      </c>
      <c r="M57" s="36">
        <v>300000</v>
      </c>
      <c r="N57">
        <v>550</v>
      </c>
      <c r="O57" s="36">
        <v>2000000</v>
      </c>
      <c r="P57" s="35">
        <v>1000000000000000</v>
      </c>
      <c r="Q57" s="53"/>
      <c r="R57" s="5">
        <v>5.9</v>
      </c>
      <c r="S57" s="10">
        <v>3.29</v>
      </c>
      <c r="T57" s="107">
        <v>1.52</v>
      </c>
      <c r="U57" s="110">
        <f>(((Table5[[#This Row],[Watts Active]]*Power_On_Hours_Year/1000)*Active_Duty_Cycle)+((Table5[[#This Row],[Watts Idle]]*Power_On_Hours_Year/1000)*(100%-Active_Duty_Cycle)))*CostPerKWH</f>
        <v>4.1768846400000008</v>
      </c>
      <c r="V57" s="141">
        <f>Table5[Energy$year]/Table5[[#This Row],[SizTB]]</f>
        <v>4.1768846400000008</v>
      </c>
      <c r="W57" s="140">
        <v>176.27</v>
      </c>
      <c r="X57" s="6">
        <f>IF(Table5[[#This Row],[Cost]],Table5[[#This Row],[Cost]]/Table5[[#This Row],[SizTB]]*Exchange_Rate,"")</f>
        <v>176.27</v>
      </c>
      <c r="Y57" s="145">
        <f>Table5[[#This Row],[Cost]]+((CompareWarrYrs-Table5[[#This Row],[Warranty]])*(Incremental_Warr_Yr*Table5[[#This Row],[Cost]]))*Exchange_Rate</f>
        <v>176.27</v>
      </c>
      <c r="Z57" s="6">
        <f>IF(Table5[[#This Row],[$+Warr]],Table5[[#This Row],[$+Warr]]/Table5[[#This Row],[SizTB]],"")</f>
        <v>176.27</v>
      </c>
      <c r="AA57" s="6">
        <f>IFERROR(Table5[[#This Row],[$PerTB]]/CompareWarrYrs,"")</f>
        <v>35.254000000000005</v>
      </c>
      <c r="AB57" s="6">
        <f>IF(OR(Table5[[#This Row],[$ TB/year]]="",Table5[[#This Row],[Energy$yearPerTB]]=""),"",Table5[[#This Row],[$ TB/year]]+Table5[[#This Row],[Energy$yearPerTB]])</f>
        <v>39.430884640000002</v>
      </c>
      <c r="AC57" s="155"/>
      <c r="AD57" s="156"/>
      <c r="AE57" s="40"/>
    </row>
    <row r="58" spans="1:31" x14ac:dyDescent="0.25">
      <c r="A58" s="1">
        <v>43166</v>
      </c>
      <c r="B58" t="s">
        <v>10</v>
      </c>
      <c r="C58" s="95" t="s">
        <v>105</v>
      </c>
      <c r="D58" s="98" t="s">
        <v>49</v>
      </c>
      <c r="E58" s="81">
        <v>2.5</v>
      </c>
      <c r="F58" s="69">
        <v>2</v>
      </c>
      <c r="G58" s="42">
        <v>7200</v>
      </c>
      <c r="H58" s="5">
        <v>4.16</v>
      </c>
      <c r="I58" s="5"/>
      <c r="J58" s="61">
        <f>(Table5[[#This Row],[RPM]]/5400-1)</f>
        <v>0.33333333333333326</v>
      </c>
      <c r="K58" s="45">
        <v>136</v>
      </c>
      <c r="L58">
        <v>5</v>
      </c>
      <c r="M58" s="36">
        <v>300000</v>
      </c>
      <c r="N58">
        <v>550</v>
      </c>
      <c r="O58" s="36">
        <v>2000000</v>
      </c>
      <c r="P58" s="35">
        <v>1000000000000000</v>
      </c>
      <c r="Q58" s="53"/>
      <c r="R58" s="5">
        <v>6.02</v>
      </c>
      <c r="S58" s="10">
        <v>3.53</v>
      </c>
      <c r="T58" s="107">
        <v>1.52</v>
      </c>
      <c r="U58" s="110">
        <f>(((Table5[[#This Row],[Watts Active]]*Power_On_Hours_Year/1000)*Active_Duty_Cycle)+((Table5[[#This Row],[Watts Idle]]*Power_On_Hours_Year/1000)*(100%-Active_Duty_Cycle)))*CostPerKWH</f>
        <v>4.4135601600000003</v>
      </c>
      <c r="V58" s="141">
        <f>Table5[Energy$year]/Table5[[#This Row],[SizTB]]</f>
        <v>2.2067800800000001</v>
      </c>
      <c r="W58" s="140">
        <v>270</v>
      </c>
      <c r="X58" s="6">
        <f>IF(Table5[[#This Row],[Cost]],Table5[[#This Row],[Cost]]/Table5[[#This Row],[SizTB]]*Exchange_Rate,"")</f>
        <v>135</v>
      </c>
      <c r="Y58" s="145">
        <f>Table5[[#This Row],[Cost]]+((CompareWarrYrs-Table5[[#This Row],[Warranty]])*(Incremental_Warr_Yr*Table5[[#This Row],[Cost]]))*Exchange_Rate</f>
        <v>270</v>
      </c>
      <c r="Z58" s="6">
        <f>IF(Table5[[#This Row],[$+Warr]],Table5[[#This Row],[$+Warr]]/Table5[[#This Row],[SizTB]],"")</f>
        <v>135</v>
      </c>
      <c r="AA58" s="6">
        <f>IFERROR(Table5[[#This Row],[$PerTB]]/CompareWarrYrs,"")</f>
        <v>27</v>
      </c>
      <c r="AB58" s="6">
        <f>IF(OR(Table5[[#This Row],[$ TB/year]]="",Table5[[#This Row],[Energy$yearPerTB]]=""),"",Table5[[#This Row],[$ TB/year]]+Table5[[#This Row],[Energy$yearPerTB]])</f>
        <v>29.206780080000001</v>
      </c>
      <c r="AC58" s="155"/>
      <c r="AD58" s="156"/>
      <c r="AE58" s="40"/>
    </row>
    <row r="59" spans="1:31" x14ac:dyDescent="0.25">
      <c r="A59" s="1">
        <v>43457</v>
      </c>
      <c r="B59" t="s">
        <v>10</v>
      </c>
      <c r="C59" s="95" t="s">
        <v>100</v>
      </c>
      <c r="D59" s="27" t="s">
        <v>49</v>
      </c>
      <c r="E59" s="81">
        <v>3.5</v>
      </c>
      <c r="F59" s="69">
        <v>1</v>
      </c>
      <c r="G59" s="42">
        <v>7200</v>
      </c>
      <c r="H59" s="5">
        <v>4.16</v>
      </c>
      <c r="I59" s="5"/>
      <c r="J59" s="61">
        <f>(Table5[[#This Row],[RPM]]/5400-1)</f>
        <v>0.33333333333333326</v>
      </c>
      <c r="K59" s="45">
        <v>205</v>
      </c>
      <c r="L59">
        <v>5</v>
      </c>
      <c r="M59" s="36">
        <v>600000</v>
      </c>
      <c r="N59">
        <v>550</v>
      </c>
      <c r="O59" s="36">
        <v>2000000</v>
      </c>
      <c r="P59" s="35">
        <v>1000000000000000</v>
      </c>
      <c r="Q59" s="53"/>
      <c r="R59" s="5">
        <v>5.91</v>
      </c>
      <c r="S59" s="5">
        <v>4.25</v>
      </c>
      <c r="T59" s="107"/>
      <c r="U59" s="110">
        <f>(((Table5[[#This Row],[Watts Active]]*Power_On_Hours_Year/1000)*Active_Duty_Cycle)+((Table5[[#This Row],[Watts Idle]]*Power_On_Hours_Year/1000)*(100%-Active_Duty_Cycle)))*CostPerKWH</f>
        <v>5.0205890399999999</v>
      </c>
      <c r="V59" s="141">
        <f>Table5[Energy$year]/Table5[[#This Row],[SizTB]]</f>
        <v>5.0205890399999999</v>
      </c>
      <c r="W59" s="140">
        <v>89.99</v>
      </c>
      <c r="X59" s="6">
        <f>IF(Table5[[#This Row],[Cost]],Table5[[#This Row],[Cost]]/Table5[[#This Row],[SizTB]]*Exchange_Rate,"")</f>
        <v>89.99</v>
      </c>
      <c r="Y59" s="145">
        <f>Table5[[#This Row],[Cost]]+((CompareWarrYrs-Table5[[#This Row],[Warranty]])*(Incremental_Warr_Yr*Table5[[#This Row],[Cost]]))*Exchange_Rate</f>
        <v>89.99</v>
      </c>
      <c r="Z59" s="6">
        <f>IF(Table5[[#This Row],[$+Warr]],Table5[[#This Row],[$+Warr]]/Table5[[#This Row],[SizTB]],"")</f>
        <v>89.99</v>
      </c>
      <c r="AA59" s="6">
        <f>IFERROR(Table5[[#This Row],[$PerTB]]/CompareWarrYrs,"")</f>
        <v>17.997999999999998</v>
      </c>
      <c r="AB59" s="6">
        <f>IF(OR(Table5[[#This Row],[$ TB/year]]="",Table5[[#This Row],[Energy$yearPerTB]]=""),"",Table5[[#This Row],[$ TB/year]]+Table5[[#This Row],[Energy$yearPerTB]])</f>
        <v>23.018589039999998</v>
      </c>
      <c r="AC59" s="155"/>
      <c r="AD59" s="156"/>
      <c r="AE59" s="40"/>
    </row>
    <row r="60" spans="1:31" x14ac:dyDescent="0.25">
      <c r="A60" s="1">
        <v>43579</v>
      </c>
      <c r="B60" t="s">
        <v>10</v>
      </c>
      <c r="C60" s="95" t="s">
        <v>100</v>
      </c>
      <c r="D60" s="27" t="s">
        <v>49</v>
      </c>
      <c r="E60" s="81">
        <v>3.5</v>
      </c>
      <c r="F60" s="69">
        <v>2</v>
      </c>
      <c r="G60" s="42">
        <v>7200</v>
      </c>
      <c r="H60" s="5">
        <v>4.16</v>
      </c>
      <c r="I60" s="5"/>
      <c r="J60" s="61">
        <f>(Table5[[#This Row],[RPM]]/5400-1)</f>
        <v>0.33333333333333326</v>
      </c>
      <c r="K60" s="45">
        <v>205</v>
      </c>
      <c r="L60">
        <v>5</v>
      </c>
      <c r="M60" s="36">
        <v>600000</v>
      </c>
      <c r="N60">
        <v>550</v>
      </c>
      <c r="O60" s="36">
        <v>2000000</v>
      </c>
      <c r="P60" s="35">
        <v>1000000000000000</v>
      </c>
      <c r="Q60" s="53"/>
      <c r="R60" s="5">
        <v>5.9</v>
      </c>
      <c r="S60" s="5">
        <v>4.25</v>
      </c>
      <c r="T60" s="107">
        <v>0.6</v>
      </c>
      <c r="U60" s="110">
        <f>(((Table5[[#This Row],[Watts Active]]*Power_On_Hours_Year/1000)*Active_Duty_Cycle)+((Table5[[#This Row],[Watts Idle]]*Power_On_Hours_Year/1000)*(100%-Active_Duty_Cycle)))*CostPerKWH</f>
        <v>5.0183976000000001</v>
      </c>
      <c r="V60" s="141">
        <f>Table5[Energy$year]/Table5[[#This Row],[SizTB]]</f>
        <v>2.5091988000000001</v>
      </c>
      <c r="W60" s="140">
        <v>99.71</v>
      </c>
      <c r="X60" s="6">
        <f>IF(Table5[[#This Row],[Cost]],Table5[[#This Row],[Cost]]/Table5[[#This Row],[SizTB]]*Exchange_Rate,"")</f>
        <v>49.854999999999997</v>
      </c>
      <c r="Y60" s="145">
        <f>Table5[[#This Row],[Cost]]+((CompareWarrYrs-Table5[[#This Row],[Warranty]])*(Incremental_Warr_Yr*Table5[[#This Row],[Cost]]))*Exchange_Rate</f>
        <v>99.71</v>
      </c>
      <c r="Z60" s="6">
        <f>IF(Table5[[#This Row],[$+Warr]],Table5[[#This Row],[$+Warr]]/Table5[[#This Row],[SizTB]],"")</f>
        <v>49.854999999999997</v>
      </c>
      <c r="AA60" s="6">
        <f>IFERROR(Table5[[#This Row],[$PerTB]]/CompareWarrYrs,"")</f>
        <v>9.9710000000000001</v>
      </c>
      <c r="AB60" s="6">
        <f>IF(OR(Table5[[#This Row],[$ TB/year]]="",Table5[[#This Row],[Energy$yearPerTB]]=""),"",Table5[[#This Row],[$ TB/year]]+Table5[[#This Row],[Energy$yearPerTB]])</f>
        <v>12.4801988</v>
      </c>
      <c r="AC60" s="155"/>
      <c r="AD60" s="156"/>
      <c r="AE60" s="40"/>
    </row>
    <row r="61" spans="1:31" x14ac:dyDescent="0.25">
      <c r="A61" s="1">
        <v>43457</v>
      </c>
      <c r="B61" t="s">
        <v>10</v>
      </c>
      <c r="C61" s="95" t="s">
        <v>100</v>
      </c>
      <c r="D61" s="106" t="s">
        <v>49</v>
      </c>
      <c r="E61" s="81">
        <v>3.5</v>
      </c>
      <c r="F61" s="69">
        <v>3</v>
      </c>
      <c r="G61" s="42">
        <v>7200</v>
      </c>
      <c r="H61" s="5">
        <v>4.16</v>
      </c>
      <c r="I61" s="5"/>
      <c r="J61" s="61">
        <f>(Table5[[#This Row],[RPM]]/5400-1)</f>
        <v>0.33333333333333326</v>
      </c>
      <c r="K61" s="45">
        <v>205</v>
      </c>
      <c r="L61">
        <v>5</v>
      </c>
      <c r="M61" s="36">
        <v>600000</v>
      </c>
      <c r="N61">
        <v>550</v>
      </c>
      <c r="O61" s="36">
        <v>2000000</v>
      </c>
      <c r="P61" s="35">
        <v>1000000000000000</v>
      </c>
      <c r="Q61" s="53"/>
      <c r="R61" s="5">
        <v>6.9</v>
      </c>
      <c r="S61" s="5">
        <v>5.45</v>
      </c>
      <c r="T61" s="107">
        <v>0.6</v>
      </c>
      <c r="U61" s="110">
        <f>(((Table5[[#This Row],[Watts Active]]*Power_On_Hours_Year/1000)*Active_Duty_Cycle)+((Table5[[#This Row],[Watts Idle]]*Power_On_Hours_Year/1000)*(100%-Active_Duty_Cycle)))*CostPerKWH</f>
        <v>6.2894328000000002</v>
      </c>
      <c r="V61" s="141">
        <f>Table5[Energy$year]/Table5[[#This Row],[SizTB]]</f>
        <v>2.0964776000000001</v>
      </c>
      <c r="W61" s="140">
        <v>144.44</v>
      </c>
      <c r="X61" s="6">
        <f>IF(Table5[[#This Row],[Cost]],Table5[[#This Row],[Cost]]/Table5[[#This Row],[SizTB]]*Exchange_Rate,"")</f>
        <v>48.146666666666668</v>
      </c>
      <c r="Y61" s="145">
        <f>Table5[[#This Row],[Cost]]+((CompareWarrYrs-Table5[[#This Row],[Warranty]])*(Incremental_Warr_Yr*Table5[[#This Row],[Cost]]))*Exchange_Rate</f>
        <v>144.44</v>
      </c>
      <c r="Z61" s="6">
        <f>IF(Table5[[#This Row],[$+Warr]],Table5[[#This Row],[$+Warr]]/Table5[[#This Row],[SizTB]],"")</f>
        <v>48.146666666666668</v>
      </c>
      <c r="AA61" s="6">
        <f>IFERROR(Table5[[#This Row],[$PerTB]]/CompareWarrYrs,"")</f>
        <v>9.6293333333333333</v>
      </c>
      <c r="AB61" s="6">
        <f>IF(OR(Table5[[#This Row],[$ TB/year]]="",Table5[[#This Row],[Energy$yearPerTB]]=""),"",Table5[[#This Row],[$ TB/year]]+Table5[[#This Row],[Energy$yearPerTB]])</f>
        <v>11.725810933333333</v>
      </c>
      <c r="AC61" s="155"/>
      <c r="AD61" s="156"/>
      <c r="AE61" s="40"/>
    </row>
    <row r="62" spans="1:31" x14ac:dyDescent="0.25">
      <c r="A62" s="1">
        <v>43579</v>
      </c>
      <c r="B62" t="s">
        <v>10</v>
      </c>
      <c r="C62" s="95" t="s">
        <v>100</v>
      </c>
      <c r="D62" s="27" t="s">
        <v>49</v>
      </c>
      <c r="E62" s="81">
        <v>3.5</v>
      </c>
      <c r="F62" s="69">
        <v>4</v>
      </c>
      <c r="G62" s="42">
        <v>7200</v>
      </c>
      <c r="H62" s="5">
        <v>4.16</v>
      </c>
      <c r="I62" s="5"/>
      <c r="J62" s="61">
        <f>(Table5[[#This Row],[RPM]]/5400-1)</f>
        <v>0.33333333333333326</v>
      </c>
      <c r="K62" s="45">
        <v>205</v>
      </c>
      <c r="L62">
        <v>5</v>
      </c>
      <c r="M62" s="36">
        <v>600000</v>
      </c>
      <c r="N62">
        <v>550</v>
      </c>
      <c r="O62" s="36">
        <v>2000000</v>
      </c>
      <c r="P62" s="35">
        <v>1000000000000000</v>
      </c>
      <c r="Q62" s="53"/>
      <c r="R62" s="5">
        <v>6.9</v>
      </c>
      <c r="S62" s="5">
        <v>5.45</v>
      </c>
      <c r="T62" s="107">
        <v>0.6</v>
      </c>
      <c r="U62" s="110">
        <f>(((Table5[[#This Row],[Watts Active]]*Power_On_Hours_Year/1000)*Active_Duty_Cycle)+((Table5[[#This Row],[Watts Idle]]*Power_On_Hours_Year/1000)*(100%-Active_Duty_Cycle)))*CostPerKWH</f>
        <v>6.2894328000000002</v>
      </c>
      <c r="V62" s="141">
        <f>Table5[Energy$year]/Table5[[#This Row],[SizTB]]</f>
        <v>1.5723582</v>
      </c>
      <c r="W62" s="140">
        <v>136.94999999999999</v>
      </c>
      <c r="X62" s="6">
        <f>IF(Table5[[#This Row],[Cost]],Table5[[#This Row],[Cost]]/Table5[[#This Row],[SizTB]]*Exchange_Rate,"")</f>
        <v>34.237499999999997</v>
      </c>
      <c r="Y62" s="145">
        <v>129.99</v>
      </c>
      <c r="Z62" s="6">
        <f>IF(Table5[[#This Row],[$+Warr]],Table5[[#This Row],[$+Warr]]/Table5[[#This Row],[SizTB]],"")</f>
        <v>32.497500000000002</v>
      </c>
      <c r="AA62" s="6">
        <f>IFERROR(Table5[[#This Row],[$PerTB]]/CompareWarrYrs,"")</f>
        <v>6.4995000000000003</v>
      </c>
      <c r="AB62" s="6">
        <f>IF(OR(Table5[[#This Row],[$ TB/year]]="",Table5[[#This Row],[Energy$yearPerTB]]=""),"",Table5[[#This Row],[$ TB/year]]+Table5[[#This Row],[Energy$yearPerTB]])</f>
        <v>8.0718582000000012</v>
      </c>
      <c r="AC62" s="155"/>
      <c r="AD62" s="156"/>
      <c r="AE62" s="40"/>
    </row>
    <row r="63" spans="1:31" x14ac:dyDescent="0.25">
      <c r="A63" s="1">
        <v>43579</v>
      </c>
      <c r="B63" t="s">
        <v>10</v>
      </c>
      <c r="C63" s="95" t="s">
        <v>100</v>
      </c>
      <c r="D63" s="27" t="s">
        <v>49</v>
      </c>
      <c r="E63" s="81">
        <v>3.5</v>
      </c>
      <c r="F63" s="69">
        <v>6</v>
      </c>
      <c r="G63" s="42">
        <v>7200</v>
      </c>
      <c r="H63" s="5">
        <v>4.16</v>
      </c>
      <c r="I63" s="5"/>
      <c r="J63" s="61">
        <f>(Table5[[#This Row],[RPM]]/5400-1)</f>
        <v>0.33333333333333326</v>
      </c>
      <c r="K63" s="45">
        <v>226</v>
      </c>
      <c r="L63">
        <v>5</v>
      </c>
      <c r="M63" s="36">
        <v>600000</v>
      </c>
      <c r="N63">
        <v>550</v>
      </c>
      <c r="O63" s="36">
        <v>2000000</v>
      </c>
      <c r="P63" s="35">
        <v>1000000000000000</v>
      </c>
      <c r="Q63" s="53"/>
      <c r="R63" s="5">
        <v>9.8000000000000007</v>
      </c>
      <c r="S63" s="5">
        <v>8.15</v>
      </c>
      <c r="T63" s="107">
        <v>0.6</v>
      </c>
      <c r="U63" s="110">
        <f>(((Table5[[#This Row],[Watts Active]]*Power_On_Hours_Year/1000)*Active_Duty_Cycle)+((Table5[[#This Row],[Watts Idle]]*Power_On_Hours_Year/1000)*(100%-Active_Duty_Cycle)))*CostPerKWH</f>
        <v>9.2917056000000002</v>
      </c>
      <c r="V63" s="141">
        <f>Table5[Energy$year]/Table5[[#This Row],[SizTB]]</f>
        <v>1.5486176</v>
      </c>
      <c r="W63" s="140">
        <v>175.99</v>
      </c>
      <c r="X63" s="6">
        <f>IF(Table5[[#This Row],[Cost]],Table5[[#This Row],[Cost]]/Table5[[#This Row],[SizTB]]*Exchange_Rate,"")</f>
        <v>29.331666666666667</v>
      </c>
      <c r="Y63" s="145">
        <f>Table5[[#This Row],[Cost]]+((CompareWarrYrs-Table5[[#This Row],[Warranty]])*(Incremental_Warr_Yr*Table5[[#This Row],[Cost]]))*Exchange_Rate</f>
        <v>175.99</v>
      </c>
      <c r="Z63" s="6">
        <f>IF(Table5[[#This Row],[$+Warr]],Table5[[#This Row],[$+Warr]]/Table5[[#This Row],[SizTB]],"")</f>
        <v>29.331666666666667</v>
      </c>
      <c r="AA63" s="6">
        <f>IFERROR(Table5[[#This Row],[$PerTB]]/CompareWarrYrs,"")</f>
        <v>5.8663333333333334</v>
      </c>
      <c r="AB63" s="6">
        <f>IF(OR(Table5[[#This Row],[$ TB/year]]="",Table5[[#This Row],[Energy$yearPerTB]]=""),"",Table5[[#This Row],[$ TB/year]]+Table5[[#This Row],[Energy$yearPerTB]])</f>
        <v>7.4149509333333334</v>
      </c>
      <c r="AC63" s="155"/>
      <c r="AD63" s="156"/>
      <c r="AE63" s="40"/>
    </row>
    <row r="64" spans="1:31" x14ac:dyDescent="0.25">
      <c r="A64" s="1">
        <v>43458</v>
      </c>
      <c r="B64" t="s">
        <v>10</v>
      </c>
      <c r="C64" s="95" t="s">
        <v>100</v>
      </c>
      <c r="D64" s="27" t="s">
        <v>49</v>
      </c>
      <c r="E64" s="81">
        <v>3.5</v>
      </c>
      <c r="F64" s="69">
        <v>8</v>
      </c>
      <c r="G64" s="42">
        <v>7200</v>
      </c>
      <c r="H64" s="5">
        <v>4.16</v>
      </c>
      <c r="I64" s="5"/>
      <c r="J64" s="61">
        <f>(Table5[[#This Row],[RPM]]/5400-1)</f>
        <v>0.33333333333333326</v>
      </c>
      <c r="K64" s="45">
        <v>249</v>
      </c>
      <c r="L64">
        <v>5</v>
      </c>
      <c r="M64" s="36">
        <v>600000</v>
      </c>
      <c r="N64">
        <v>550</v>
      </c>
      <c r="O64" s="36">
        <v>2000000</v>
      </c>
      <c r="P64" s="35">
        <v>1000000000000000</v>
      </c>
      <c r="Q64" s="53"/>
      <c r="R64" s="5">
        <v>11</v>
      </c>
      <c r="S64" s="5">
        <v>7.6</v>
      </c>
      <c r="T64" s="107">
        <v>0.6</v>
      </c>
      <c r="U64" s="110">
        <f>(((Table5[[#This Row],[Watts Active]]*Power_On_Hours_Year/1000)*Active_Duty_Cycle)+((Table5[[#This Row],[Watts Idle]]*Power_On_Hours_Year/1000)*(100%-Active_Duty_Cycle)))*CostPerKWH</f>
        <v>9.0725616000000002</v>
      </c>
      <c r="V64" s="141">
        <f>Table5[Energy$year]/Table5[[#This Row],[SizTB]]</f>
        <v>1.1340702</v>
      </c>
      <c r="W64" s="140">
        <v>358.07</v>
      </c>
      <c r="X64" s="6">
        <f>IF(Table5[[#This Row],[Cost]],Table5[[#This Row],[Cost]]/Table5[[#This Row],[SizTB]]*Exchange_Rate,"")</f>
        <v>44.758749999999999</v>
      </c>
      <c r="Y64" s="145">
        <f>Table5[[#This Row],[Cost]]+((CompareWarrYrs-Table5[[#This Row],[Warranty]])*(Incremental_Warr_Yr*Table5[[#This Row],[Cost]]))*Exchange_Rate</f>
        <v>358.07</v>
      </c>
      <c r="Z64" s="6">
        <f>IF(Table5[[#This Row],[$+Warr]],Table5[[#This Row],[$+Warr]]/Table5[[#This Row],[SizTB]],"")</f>
        <v>44.758749999999999</v>
      </c>
      <c r="AA64" s="6">
        <f>IFERROR(Table5[[#This Row],[$PerTB]]/CompareWarrYrs,"")</f>
        <v>8.9517500000000005</v>
      </c>
      <c r="AB64" s="6">
        <f>IF(OR(Table5[[#This Row],[$ TB/year]]="",Table5[[#This Row],[Energy$yearPerTB]]=""),"",Table5[[#This Row],[$ TB/year]]+Table5[[#This Row],[Energy$yearPerTB]])</f>
        <v>10.085820200000001</v>
      </c>
      <c r="AC64" s="155"/>
      <c r="AD64" s="156"/>
      <c r="AE64" s="40"/>
    </row>
    <row r="65" spans="1:31" x14ac:dyDescent="0.25">
      <c r="A65" s="1">
        <v>43579</v>
      </c>
      <c r="B65" t="s">
        <v>10</v>
      </c>
      <c r="C65" s="95" t="s">
        <v>107</v>
      </c>
      <c r="D65" s="98" t="s">
        <v>49</v>
      </c>
      <c r="E65" s="81">
        <v>3.5</v>
      </c>
      <c r="F65" s="69">
        <v>8</v>
      </c>
      <c r="G65" s="42">
        <v>7200</v>
      </c>
      <c r="H65" s="5">
        <v>4.16</v>
      </c>
      <c r="I65" s="5"/>
      <c r="J65" s="61">
        <f>(Table5[[#This Row],[RPM]]/5400-1)</f>
        <v>0.33333333333333326</v>
      </c>
      <c r="K65" s="45">
        <v>237</v>
      </c>
      <c r="L65">
        <v>5</v>
      </c>
      <c r="M65" s="36">
        <v>600000</v>
      </c>
      <c r="N65">
        <v>550</v>
      </c>
      <c r="O65" s="36">
        <v>2500000</v>
      </c>
      <c r="P65" s="35">
        <v>1000000000000000</v>
      </c>
      <c r="Q65" s="53">
        <v>26.21</v>
      </c>
      <c r="R65" s="5">
        <v>7.8</v>
      </c>
      <c r="S65" s="39">
        <v>5</v>
      </c>
      <c r="T65" s="107">
        <v>0.8</v>
      </c>
      <c r="U65" s="110">
        <f>(((Table5[[#This Row],[Watts Active]]*Power_On_Hours_Year/1000)*Active_Duty_Cycle)+((Table5[[#This Row],[Watts Idle]]*Power_On_Hours_Year/1000)*(100%-Active_Duty_Cycle)))*CostPerKWH</f>
        <v>6.0922032000000002</v>
      </c>
      <c r="V65" s="141">
        <f>Table5[Energy$year]/Table5[[#This Row],[SizTB]]</f>
        <v>0.76152540000000002</v>
      </c>
      <c r="W65" s="194">
        <v>244.99</v>
      </c>
      <c r="X65" s="6">
        <f>IF(Table5[[#This Row],[Cost]],Table5[[#This Row],[Cost]]/Table5[[#This Row],[SizTB]]*Exchange_Rate,"")</f>
        <v>30.623750000000001</v>
      </c>
      <c r="Y65" s="145">
        <f>Table5[[#This Row],[Cost]]+((CompareWarrYrs-Table5[[#This Row],[Warranty]])*(Incremental_Warr_Yr*Table5[[#This Row],[Cost]]))*Exchange_Rate</f>
        <v>244.99</v>
      </c>
      <c r="Z65" s="6">
        <f>IF(Table5[[#This Row],[$+Warr]],Table5[[#This Row],[$+Warr]]/Table5[[#This Row],[SizTB]],"")</f>
        <v>30.623750000000001</v>
      </c>
      <c r="AA65" s="6">
        <f>IFERROR(Table5[[#This Row],[$PerTB]]/CompareWarrYrs,"")</f>
        <v>6.1247500000000006</v>
      </c>
      <c r="AB65" s="6">
        <f>IF(OR(Table5[[#This Row],[$ TB/year]]="",Table5[[#This Row],[Energy$yearPerTB]]=""),"",Table5[[#This Row],[$ TB/year]]+Table5[[#This Row],[Energy$yearPerTB]])</f>
        <v>6.8862754000000006</v>
      </c>
      <c r="AC65" s="155"/>
      <c r="AD65" s="156"/>
      <c r="AE65" s="40" t="s">
        <v>37</v>
      </c>
    </row>
    <row r="66" spans="1:31" x14ac:dyDescent="0.25">
      <c r="A66" s="1">
        <v>43579</v>
      </c>
      <c r="B66" t="s">
        <v>10</v>
      </c>
      <c r="C66" s="95" t="s">
        <v>107</v>
      </c>
      <c r="D66" s="98" t="s">
        <v>49</v>
      </c>
      <c r="E66" s="81">
        <v>3.5</v>
      </c>
      <c r="F66" s="69">
        <v>10</v>
      </c>
      <c r="G66" s="42">
        <v>7200</v>
      </c>
      <c r="H66" s="5">
        <v>4.16</v>
      </c>
      <c r="I66" s="5"/>
      <c r="J66" s="61">
        <f>(Table5[[#This Row],[RPM]]/5400-1)</f>
        <v>0.33333333333333326</v>
      </c>
      <c r="K66" s="45">
        <v>237</v>
      </c>
      <c r="L66">
        <v>5</v>
      </c>
      <c r="M66" s="36">
        <v>600000</v>
      </c>
      <c r="N66">
        <v>550</v>
      </c>
      <c r="O66" s="36">
        <v>2500000</v>
      </c>
      <c r="P66" s="35">
        <v>1000000000000000</v>
      </c>
      <c r="Q66" s="53">
        <f>0.58*5+1.94*12</f>
        <v>26.18</v>
      </c>
      <c r="R66" s="5">
        <v>7.8</v>
      </c>
      <c r="S66" s="39">
        <v>5</v>
      </c>
      <c r="T66" s="107">
        <v>0.8</v>
      </c>
      <c r="U66" s="110">
        <f>(((Table5[[#This Row],[Watts Active]]*Power_On_Hours_Year/1000)*Active_Duty_Cycle)+((Table5[[#This Row],[Watts Idle]]*Power_On_Hours_Year/1000)*(100%-Active_Duty_Cycle)))*CostPerKWH</f>
        <v>6.0922032000000002</v>
      </c>
      <c r="V66" s="141">
        <f>Table5[Energy$year]/Table5[[#This Row],[SizTB]]</f>
        <v>0.60922032000000004</v>
      </c>
      <c r="W66" s="140">
        <v>305.49</v>
      </c>
      <c r="X66" s="6">
        <f>IF(Table5[[#This Row],[Cost]],Table5[[#This Row],[Cost]]/Table5[[#This Row],[SizTB]]*Exchange_Rate,"")</f>
        <v>30.548999999999999</v>
      </c>
      <c r="Y66" s="145">
        <f>Table5[[#This Row],[Cost]]+((CompareWarrYrs-Table5[[#This Row],[Warranty]])*(Incremental_Warr_Yr*Table5[[#This Row],[Cost]]))*Exchange_Rate</f>
        <v>305.49</v>
      </c>
      <c r="Z66" s="6">
        <f>IF(Table5[[#This Row],[$+Warr]],Table5[[#This Row],[$+Warr]]/Table5[[#This Row],[SizTB]],"")</f>
        <v>30.548999999999999</v>
      </c>
      <c r="AA66" s="6">
        <f>IFERROR(Table5[[#This Row],[$PerTB]]/CompareWarrYrs,"")</f>
        <v>6.1097999999999999</v>
      </c>
      <c r="AB66" s="6">
        <f>IF(OR(Table5[[#This Row],[$ TB/year]]="",Table5[[#This Row],[Energy$yearPerTB]]=""),"",Table5[[#This Row],[$ TB/year]]+Table5[[#This Row],[Energy$yearPerTB]])</f>
        <v>6.7190203200000003</v>
      </c>
      <c r="AC66" s="155"/>
      <c r="AD66" s="156"/>
      <c r="AE66" s="40" t="s">
        <v>37</v>
      </c>
    </row>
    <row r="67" spans="1:31" x14ac:dyDescent="0.25">
      <c r="A67" s="1">
        <v>43579</v>
      </c>
      <c r="B67" t="s">
        <v>10</v>
      </c>
      <c r="C67" s="95" t="s">
        <v>106</v>
      </c>
      <c r="D67" s="98" t="s">
        <v>49</v>
      </c>
      <c r="E67" s="81">
        <v>3.5</v>
      </c>
      <c r="F67" s="69">
        <v>12</v>
      </c>
      <c r="G67" s="42">
        <v>7200</v>
      </c>
      <c r="H67" s="5">
        <v>4.16</v>
      </c>
      <c r="I67" s="5"/>
      <c r="J67" s="61">
        <f>(Table5[[#This Row],[RPM]]/5400-1)</f>
        <v>0.33333333333333326</v>
      </c>
      <c r="K67" s="45">
        <v>261</v>
      </c>
      <c r="L67">
        <v>5</v>
      </c>
      <c r="M67" s="36">
        <v>600000</v>
      </c>
      <c r="N67">
        <v>550</v>
      </c>
      <c r="O67" s="36">
        <v>2500000</v>
      </c>
      <c r="P67" s="35">
        <v>1000000000000000</v>
      </c>
      <c r="Q67" s="53">
        <f>0.914*5+1.729*12</f>
        <v>25.318000000000001</v>
      </c>
      <c r="R67" s="5">
        <v>7.8</v>
      </c>
      <c r="S67" s="39">
        <v>5</v>
      </c>
      <c r="T67" s="107">
        <v>1.1499999999999999</v>
      </c>
      <c r="U67" s="110">
        <f>(((Table5[[#This Row],[Watts Active]]*Power_On_Hours_Year/1000)*Active_Duty_Cycle)+((Table5[[#This Row],[Watts Idle]]*Power_On_Hours_Year/1000)*(100%-Active_Duty_Cycle)))*CostPerKWH</f>
        <v>6.0922032000000002</v>
      </c>
      <c r="V67" s="141">
        <f>Table5[Energy$year]/Table5[[#This Row],[SizTB]]</f>
        <v>0.50768360000000001</v>
      </c>
      <c r="W67" s="140">
        <v>366.94</v>
      </c>
      <c r="X67" s="6">
        <f>IF(Table5[[#This Row],[Cost]],Table5[[#This Row],[Cost]]/Table5[[#This Row],[SizTB]]*Exchange_Rate,"")</f>
        <v>30.578333333333333</v>
      </c>
      <c r="Y67" s="145">
        <f>Table5[[#This Row],[Cost]]+((CompareWarrYrs-Table5[[#This Row],[Warranty]])*(Incremental_Warr_Yr*Table5[[#This Row],[Cost]]))*Exchange_Rate</f>
        <v>366.94</v>
      </c>
      <c r="Z67" s="6">
        <f>IF(Table5[[#This Row],[$+Warr]],Table5[[#This Row],[$+Warr]]/Table5[[#This Row],[SizTB]],"")</f>
        <v>30.578333333333333</v>
      </c>
      <c r="AA67" s="6">
        <f>IFERROR(Table5[[#This Row],[$PerTB]]/CompareWarrYrs,"")</f>
        <v>6.1156666666666668</v>
      </c>
      <c r="AB67" s="6">
        <f>IF(OR(Table5[[#This Row],[$ TB/year]]="",Table5[[#This Row],[Energy$yearPerTB]]=""),"",Table5[[#This Row],[$ TB/year]]+Table5[[#This Row],[Energy$yearPerTB]])</f>
        <v>6.6233502666666668</v>
      </c>
      <c r="AC67" s="155"/>
      <c r="AD67" s="156"/>
      <c r="AE67" s="40" t="s">
        <v>37</v>
      </c>
    </row>
    <row r="68" spans="1:31" x14ac:dyDescent="0.25">
      <c r="A68" s="1">
        <v>43579</v>
      </c>
      <c r="B68" t="s">
        <v>10</v>
      </c>
      <c r="C68" t="s">
        <v>156</v>
      </c>
      <c r="D68" s="106" t="s">
        <v>49</v>
      </c>
      <c r="E68" s="81">
        <v>3.5</v>
      </c>
      <c r="F68" s="69">
        <v>14</v>
      </c>
      <c r="G68" s="42">
        <v>7200</v>
      </c>
      <c r="H68" s="5"/>
      <c r="I68" s="5"/>
      <c r="J68" s="61">
        <f>(Table5[[#This Row],[RPM]]/5400-1)</f>
        <v>0.33333333333333326</v>
      </c>
      <c r="K68" s="45"/>
      <c r="L68">
        <v>5</v>
      </c>
      <c r="M68" s="36"/>
      <c r="O68" s="36"/>
      <c r="P68" s="35"/>
      <c r="Q68" s="53"/>
      <c r="R68" s="5"/>
      <c r="S68" s="39"/>
      <c r="T68" s="107"/>
      <c r="U68" s="110">
        <f>(((Table5[[#This Row],[Watts Active]]*Power_On_Hours_Year/1000)*Active_Duty_Cycle)+((Table5[[#This Row],[Watts Idle]]*Power_On_Hours_Year/1000)*(100%-Active_Duty_Cycle)))*CostPerKWH</f>
        <v>0</v>
      </c>
      <c r="V68" s="141">
        <f>Table5[Energy$year]/Table5[[#This Row],[SizTB]]</f>
        <v>0</v>
      </c>
      <c r="W68" s="140">
        <v>549.99</v>
      </c>
      <c r="X68" s="6">
        <f>IF(Table5[[#This Row],[Cost]],Table5[[#This Row],[Cost]]/Table5[[#This Row],[SizTB]]*Exchange_Rate,"")</f>
        <v>39.285000000000004</v>
      </c>
      <c r="Y68" s="145">
        <f>Table5[[#This Row],[Cost]]+((CompareWarrYrs-Table5[[#This Row],[Warranty]])*(Incremental_Warr_Yr*Table5[[#This Row],[Cost]]))*Exchange_Rate</f>
        <v>549.99</v>
      </c>
      <c r="Z68" s="6">
        <f>IF(Table5[[#This Row],[$+Warr]],Table5[[#This Row],[$+Warr]]/Table5[[#This Row],[SizTB]],"")</f>
        <v>39.285000000000004</v>
      </c>
      <c r="AA68" s="6">
        <f>IFERROR(Table5[[#This Row],[$PerTB]]/CompareWarrYrs,"")</f>
        <v>7.8570000000000011</v>
      </c>
      <c r="AB68" s="6">
        <f>IF(OR(Table5[[#This Row],[$ TB/year]]="",Table5[[#This Row],[Energy$yearPerTB]]=""),"",Table5[[#This Row],[$ TB/year]]+Table5[[#This Row],[Energy$yearPerTB]])</f>
        <v>7.8570000000000011</v>
      </c>
      <c r="AC68" s="155"/>
      <c r="AD68" s="156"/>
      <c r="AE68" s="40" t="s">
        <v>37</v>
      </c>
    </row>
    <row r="69" spans="1:31" x14ac:dyDescent="0.25">
      <c r="A69" s="1">
        <v>43358</v>
      </c>
      <c r="B69" t="s">
        <v>10</v>
      </c>
      <c r="C69" s="95" t="s">
        <v>43</v>
      </c>
      <c r="D69" s="106" t="s">
        <v>124</v>
      </c>
      <c r="E69" s="81">
        <v>2.5</v>
      </c>
      <c r="F69" s="69">
        <v>1</v>
      </c>
      <c r="G69" s="42">
        <v>5400</v>
      </c>
      <c r="H69" s="5">
        <v>5.6</v>
      </c>
      <c r="I69" s="5">
        <v>13</v>
      </c>
      <c r="J69" s="61">
        <f>(Table5[[#This Row],[RPM]]/5400-1)</f>
        <v>0</v>
      </c>
      <c r="K69" s="45">
        <v>140</v>
      </c>
      <c r="L69">
        <v>5</v>
      </c>
      <c r="M69" s="36">
        <v>600000</v>
      </c>
      <c r="N69">
        <v>55</v>
      </c>
      <c r="O69" s="36"/>
      <c r="P69" s="35">
        <f t="shared" ref="P69:P72" si="8">10^14</f>
        <v>100000000000000</v>
      </c>
      <c r="Q69" s="53">
        <v>5</v>
      </c>
      <c r="R69" s="5">
        <v>1.7</v>
      </c>
      <c r="S69" s="5">
        <v>1.45</v>
      </c>
      <c r="T69" s="107">
        <v>0.45</v>
      </c>
      <c r="U69" s="110">
        <f>(((Table5[[#This Row],[Watts Active]]*Power_On_Hours_Year/1000)*Active_Duty_Cycle)+((Table5[[#This Row],[Watts Idle]]*Power_On_Hours_Year/1000)*(100%-Active_Duty_Cycle)))*CostPerKWH</f>
        <v>1.64358</v>
      </c>
      <c r="V69" s="141">
        <f>Table5[Energy$year]/Table5[[#This Row],[SizTB]]</f>
        <v>1.64358</v>
      </c>
      <c r="W69" s="140">
        <v>62.99</v>
      </c>
      <c r="X69" s="6">
        <f>IF(Table5[[#This Row],[Cost]],Table5[[#This Row],[Cost]]/Table5[[#This Row],[SizTB]]*Exchange_Rate,"")</f>
        <v>62.99</v>
      </c>
      <c r="Y69" s="145">
        <f>Table5[[#This Row],[Cost]]+((CompareWarrYrs-Table5[[#This Row],[Warranty]])*(Incremental_Warr_Yr*Table5[[#This Row],[Cost]]))*Exchange_Rate</f>
        <v>62.99</v>
      </c>
      <c r="Z69" s="6">
        <f>IF(Table5[[#This Row],[$+Warr]],Table5[[#This Row],[$+Warr]]/Table5[[#This Row],[SizTB]],"")</f>
        <v>62.99</v>
      </c>
      <c r="AA69" s="6">
        <f>IFERROR(Table5[[#This Row],[$PerTB]]/CompareWarrYrs,"")</f>
        <v>12.598000000000001</v>
      </c>
      <c r="AB69" s="6">
        <f>IF(OR(Table5[[#This Row],[$ TB/year]]="",Table5[[#This Row],[Energy$yearPerTB]]=""),"",Table5[[#This Row],[$ TB/year]]+Table5[[#This Row],[Energy$yearPerTB]])</f>
        <v>14.241580000000001</v>
      </c>
      <c r="AC69" s="155">
        <v>22</v>
      </c>
      <c r="AD69" s="156">
        <v>24</v>
      </c>
      <c r="AE69" s="40" t="s">
        <v>44</v>
      </c>
    </row>
    <row r="70" spans="1:31" x14ac:dyDescent="0.25">
      <c r="A70" s="1">
        <v>43463</v>
      </c>
      <c r="B70" t="s">
        <v>10</v>
      </c>
      <c r="C70" s="95" t="s">
        <v>43</v>
      </c>
      <c r="D70" s="106" t="s">
        <v>124</v>
      </c>
      <c r="E70" s="81">
        <v>2.5</v>
      </c>
      <c r="F70" s="69">
        <v>2</v>
      </c>
      <c r="G70" s="42">
        <v>5400</v>
      </c>
      <c r="H70" s="5">
        <v>5.6</v>
      </c>
      <c r="I70" s="5">
        <v>13</v>
      </c>
      <c r="J70" s="61">
        <f>(Table5[[#This Row],[RPM]]/5400-1)</f>
        <v>0</v>
      </c>
      <c r="K70" s="45">
        <v>140</v>
      </c>
      <c r="L70">
        <v>5</v>
      </c>
      <c r="M70" s="36">
        <v>600000</v>
      </c>
      <c r="N70">
        <v>55</v>
      </c>
      <c r="O70" s="36"/>
      <c r="P70" s="35">
        <f t="shared" si="8"/>
        <v>100000000000000</v>
      </c>
      <c r="Q70" s="53">
        <v>5</v>
      </c>
      <c r="R70" s="5">
        <v>1.8</v>
      </c>
      <c r="S70" s="5">
        <v>1.5</v>
      </c>
      <c r="T70" s="107">
        <v>0.5</v>
      </c>
      <c r="U70" s="110">
        <f>(((Table5[[#This Row],[Watts Active]]*Power_On_Hours_Year/1000)*Active_Duty_Cycle)+((Table5[[#This Row],[Watts Idle]]*Power_On_Hours_Year/1000)*(100%-Active_Duty_Cycle)))*CostPerKWH</f>
        <v>1.7093232</v>
      </c>
      <c r="V70" s="141">
        <f>Table5[Energy$year]/Table5[[#This Row],[SizTB]]</f>
        <v>0.85466160000000002</v>
      </c>
      <c r="W70" s="140">
        <v>84.99</v>
      </c>
      <c r="X70" s="6">
        <f>IF(Table5[[#This Row],[Cost]],Table5[[#This Row],[Cost]]/Table5[[#This Row],[SizTB]]*Exchange_Rate,"")</f>
        <v>42.494999999999997</v>
      </c>
      <c r="Y70" s="145">
        <f>Table5[[#This Row],[Cost]]+((CompareWarrYrs-Table5[[#This Row],[Warranty]])*(Incremental_Warr_Yr*Table5[[#This Row],[Cost]]))*Exchange_Rate</f>
        <v>84.99</v>
      </c>
      <c r="Z70" s="6">
        <f>IF(Table5[[#This Row],[$+Warr]],Table5[[#This Row],[$+Warr]]/Table5[[#This Row],[SizTB]],"")</f>
        <v>42.494999999999997</v>
      </c>
      <c r="AA70" s="6">
        <f>IFERROR(Table5[[#This Row],[$PerTB]]/CompareWarrYrs,"")</f>
        <v>8.4989999999999988</v>
      </c>
      <c r="AB70" s="6">
        <f>IF(OR(Table5[[#This Row],[$ TB/year]]="",Table5[[#This Row],[Energy$yearPerTB]]=""),"",Table5[[#This Row],[$ TB/year]]+Table5[[#This Row],[Energy$yearPerTB]])</f>
        <v>9.3536615999999988</v>
      </c>
      <c r="AC70" s="155">
        <v>24</v>
      </c>
      <c r="AD70" s="156">
        <v>26</v>
      </c>
      <c r="AE70" s="40" t="s">
        <v>44</v>
      </c>
    </row>
    <row r="71" spans="1:31" x14ac:dyDescent="0.25">
      <c r="A71" s="1">
        <v>43284</v>
      </c>
      <c r="B71" t="s">
        <v>10</v>
      </c>
      <c r="C71" s="95" t="s">
        <v>43</v>
      </c>
      <c r="D71" s="27" t="s">
        <v>125</v>
      </c>
      <c r="E71" s="81">
        <v>3.5</v>
      </c>
      <c r="F71" s="69">
        <v>1</v>
      </c>
      <c r="G71" s="42">
        <v>7200</v>
      </c>
      <c r="H71" s="5">
        <v>4.16</v>
      </c>
      <c r="I71" s="5">
        <v>9.5</v>
      </c>
      <c r="J71" s="61">
        <f>(Table5[[#This Row],[RPM]]/5400-1)</f>
        <v>0.33333333333333326</v>
      </c>
      <c r="K71" s="45">
        <v>156</v>
      </c>
      <c r="L71">
        <v>5</v>
      </c>
      <c r="M71" s="36">
        <v>300000</v>
      </c>
      <c r="N71">
        <v>55</v>
      </c>
      <c r="O71" s="36"/>
      <c r="P71" s="35">
        <f t="shared" si="8"/>
        <v>100000000000000</v>
      </c>
      <c r="Q71" s="53">
        <v>24</v>
      </c>
      <c r="R71" s="5">
        <v>5.9</v>
      </c>
      <c r="S71" s="5">
        <v>4.5</v>
      </c>
      <c r="T71" s="107">
        <v>0.63</v>
      </c>
      <c r="U71" s="110">
        <f>(((Table5[[#This Row],[Watts Active]]*Power_On_Hours_Year/1000)*Active_Duty_Cycle)+((Table5[[#This Row],[Watts Idle]]*Power_On_Hours_Year/1000)*(100%-Active_Duty_Cycle)))*CostPerKWH</f>
        <v>5.2375416000000001</v>
      </c>
      <c r="V71" s="141">
        <f>Table5[Energy$year]/Table5[[#This Row],[SizTB]]</f>
        <v>5.2375416000000001</v>
      </c>
      <c r="W71" s="140">
        <v>63.99</v>
      </c>
      <c r="X71" s="6">
        <f>IF(Table5[[#This Row],[Cost]],Table5[[#This Row],[Cost]]/Table5[[#This Row],[SizTB]]*Exchange_Rate,"")</f>
        <v>63.99</v>
      </c>
      <c r="Y71" s="145">
        <f>Table5[[#This Row],[Cost]]+((CompareWarrYrs-Table5[[#This Row],[Warranty]])*(Incremental_Warr_Yr*Table5[[#This Row],[Cost]]))*Exchange_Rate</f>
        <v>63.99</v>
      </c>
      <c r="Z71" s="6">
        <f>IF(Table5[[#This Row],[$+Warr]],Table5[[#This Row],[$+Warr]]/Table5[[#This Row],[SizTB]],"")</f>
        <v>63.99</v>
      </c>
      <c r="AA71" s="6">
        <f>IFERROR(Table5[[#This Row],[$PerTB]]/CompareWarrYrs,"")</f>
        <v>12.798</v>
      </c>
      <c r="AB71" s="6">
        <f>IF(OR(Table5[[#This Row],[$ TB/year]]="",Table5[[#This Row],[Energy$yearPerTB]]=""),"",Table5[[#This Row],[$ TB/year]]+Table5[[#This Row],[Energy$yearPerTB]])</f>
        <v>18.035541600000002</v>
      </c>
      <c r="AC71" s="155">
        <v>24</v>
      </c>
      <c r="AD71" s="156">
        <v>25</v>
      </c>
      <c r="AE71" s="40" t="s">
        <v>44</v>
      </c>
    </row>
    <row r="72" spans="1:31" x14ac:dyDescent="0.25">
      <c r="A72" s="1">
        <v>43427</v>
      </c>
      <c r="B72" t="s">
        <v>10</v>
      </c>
      <c r="C72" s="95" t="s">
        <v>43</v>
      </c>
      <c r="D72" s="27" t="s">
        <v>125</v>
      </c>
      <c r="E72" s="81">
        <v>3.5</v>
      </c>
      <c r="F72" s="69">
        <v>2</v>
      </c>
      <c r="G72" s="42">
        <v>7200</v>
      </c>
      <c r="H72" s="5">
        <v>4.16</v>
      </c>
      <c r="I72" s="5">
        <v>9.5</v>
      </c>
      <c r="J72" s="61">
        <f>(Table5[[#This Row],[RPM]]/5400-1)</f>
        <v>0.33333333333333326</v>
      </c>
      <c r="K72" s="45">
        <v>156</v>
      </c>
      <c r="L72">
        <v>5</v>
      </c>
      <c r="M72" s="36">
        <v>300000</v>
      </c>
      <c r="N72">
        <v>55</v>
      </c>
      <c r="O72" s="36"/>
      <c r="P72" s="35">
        <f t="shared" si="8"/>
        <v>100000000000000</v>
      </c>
      <c r="Q72" s="53">
        <v>24</v>
      </c>
      <c r="R72" s="5">
        <v>6.7</v>
      </c>
      <c r="S72" s="5">
        <v>3.36</v>
      </c>
      <c r="T72" s="107">
        <v>0.75</v>
      </c>
      <c r="U72" s="110">
        <f>(((Table5[[#This Row],[Watts Active]]*Power_On_Hours_Year/1000)*Active_Duty_Cycle)+((Table5[[#This Row],[Watts Idle]]*Power_On_Hours_Year/1000)*(100%-Active_Duty_Cycle)))*CostPerKWH</f>
        <v>4.4135601600000003</v>
      </c>
      <c r="V72" s="141">
        <f>Table5[Energy$year]/Table5[[#This Row],[SizTB]]</f>
        <v>2.2067800800000001</v>
      </c>
      <c r="W72" s="140">
        <v>79.989999999999995</v>
      </c>
      <c r="X72" s="6">
        <f>IF(Table5[[#This Row],[Cost]],Table5[[#This Row],[Cost]]/Table5[[#This Row],[SizTB]]*Exchange_Rate,"")</f>
        <v>39.994999999999997</v>
      </c>
      <c r="Y72" s="145">
        <f>Table5[[#This Row],[Cost]]+((CompareWarrYrs-Table5[[#This Row],[Warranty]])*(Incremental_Warr_Yr*Table5[[#This Row],[Cost]]))*Exchange_Rate</f>
        <v>79.989999999999995</v>
      </c>
      <c r="Z72" s="6">
        <f>IF(Table5[[#This Row],[$+Warr]],Table5[[#This Row],[$+Warr]]/Table5[[#This Row],[SizTB]],"")</f>
        <v>39.994999999999997</v>
      </c>
      <c r="AA72" s="6">
        <f>IFERROR(Table5[[#This Row],[$PerTB]]/CompareWarrYrs,"")</f>
        <v>7.9989999999999997</v>
      </c>
      <c r="AB72" s="6">
        <f>IF(OR(Table5[[#This Row],[$ TB/year]]="",Table5[[#This Row],[Energy$yearPerTB]]=""),"",Table5[[#This Row],[$ TB/year]]+Table5[[#This Row],[Energy$yearPerTB]])</f>
        <v>10.20578008</v>
      </c>
      <c r="AC72" s="155">
        <v>26</v>
      </c>
      <c r="AD72" s="156">
        <v>27</v>
      </c>
      <c r="AE72" s="40" t="s">
        <v>44</v>
      </c>
    </row>
    <row r="73" spans="1:31" x14ac:dyDescent="0.25">
      <c r="A73" s="1">
        <v>43563</v>
      </c>
      <c r="B73" t="s">
        <v>10</v>
      </c>
      <c r="C73" s="95" t="s">
        <v>13</v>
      </c>
      <c r="D73" s="27" t="s">
        <v>49</v>
      </c>
      <c r="E73" s="81">
        <v>3.5</v>
      </c>
      <c r="F73" s="69">
        <v>1</v>
      </c>
      <c r="G73" s="42">
        <v>5900</v>
      </c>
      <c r="H73" s="5">
        <v>5.0999999999999996</v>
      </c>
      <c r="I73" s="5">
        <v>11.99</v>
      </c>
      <c r="J73" s="61">
        <f>(Table5[[#This Row],[RPM]]/5400-1)</f>
        <v>9.259259259259256E-2</v>
      </c>
      <c r="K73" s="45">
        <v>180</v>
      </c>
      <c r="L73">
        <v>3</v>
      </c>
      <c r="M73" s="36">
        <v>600000</v>
      </c>
      <c r="N73">
        <v>180</v>
      </c>
      <c r="O73" s="36">
        <v>1000000</v>
      </c>
      <c r="P73" s="35">
        <f t="shared" ref="P73:P76" si="9">10^14</f>
        <v>100000000000000</v>
      </c>
      <c r="Q73" s="53">
        <f>12*1.2</f>
        <v>14.399999999999999</v>
      </c>
      <c r="R73" s="5">
        <v>3.76</v>
      </c>
      <c r="S73" s="5">
        <v>2.5</v>
      </c>
      <c r="T73" s="107">
        <v>0.8</v>
      </c>
      <c r="U73" s="110">
        <f>(((Table5[[#This Row],[Watts Active]]*Power_On_Hours_Year/1000)*Active_Duty_Cycle)+((Table5[[#This Row],[Watts Idle]]*Power_On_Hours_Year/1000)*(100%-Active_Duty_Cycle)))*CostPerKWH</f>
        <v>3.0154214399999999</v>
      </c>
      <c r="V73" s="141">
        <f>Table5[Energy$year]/Table5[[#This Row],[SizTB]]</f>
        <v>3.0154214399999999</v>
      </c>
      <c r="W73" s="140">
        <v>59.99</v>
      </c>
      <c r="X73" s="6">
        <f>IF(Table5[[#This Row],[Cost]],Table5[[#This Row],[Cost]]/Table5[[#This Row],[SizTB]]*Exchange_Rate,"")</f>
        <v>59.99</v>
      </c>
      <c r="Y73" s="145">
        <f>Table5[[#This Row],[Cost]]+((CompareWarrYrs-Table5[[#This Row],[Warranty]])*(Incremental_Warr_Yr*Table5[[#This Row],[Cost]]))*Exchange_Rate</f>
        <v>73.18780000000001</v>
      </c>
      <c r="Z73" s="6">
        <f>IF(Table5[[#This Row],[$+Warr]],Table5[[#This Row],[$+Warr]]/Table5[[#This Row],[SizTB]],"")</f>
        <v>73.18780000000001</v>
      </c>
      <c r="AA73" s="6">
        <f>IFERROR(Table5[[#This Row],[$PerTB]]/CompareWarrYrs,"")</f>
        <v>14.637560000000002</v>
      </c>
      <c r="AB73" s="6">
        <f>IF(OR(Table5[[#This Row],[$ TB/year]]="",Table5[[#This Row],[Energy$yearPerTB]]=""),"",Table5[[#This Row],[$ TB/year]]+Table5[[#This Row],[Energy$yearPerTB]])</f>
        <v>17.652981440000001</v>
      </c>
      <c r="AC73" s="155">
        <v>20</v>
      </c>
      <c r="AD73" s="156">
        <v>22</v>
      </c>
      <c r="AE73" s="40"/>
    </row>
    <row r="74" spans="1:31" x14ac:dyDescent="0.25">
      <c r="A74" s="1">
        <v>43563</v>
      </c>
      <c r="B74" t="s">
        <v>10</v>
      </c>
      <c r="C74" s="95" t="s">
        <v>13</v>
      </c>
      <c r="D74" s="27" t="s">
        <v>49</v>
      </c>
      <c r="E74" s="81">
        <v>3.5</v>
      </c>
      <c r="F74" s="69">
        <v>2</v>
      </c>
      <c r="G74" s="42">
        <v>5900</v>
      </c>
      <c r="H74" s="5">
        <v>5.0999999999999996</v>
      </c>
      <c r="I74" s="5">
        <v>11.99</v>
      </c>
      <c r="J74" s="61">
        <f>(Table5[[#This Row],[RPM]]/5400-1)</f>
        <v>9.259259259259256E-2</v>
      </c>
      <c r="K74" s="45">
        <v>180</v>
      </c>
      <c r="L74">
        <v>3</v>
      </c>
      <c r="M74" s="36">
        <v>600000</v>
      </c>
      <c r="N74">
        <v>180</v>
      </c>
      <c r="O74" s="36">
        <v>1000000</v>
      </c>
      <c r="P74" s="35">
        <f t="shared" si="9"/>
        <v>100000000000000</v>
      </c>
      <c r="Q74" s="53">
        <f>12*2</f>
        <v>24</v>
      </c>
      <c r="R74" s="5">
        <v>4.3</v>
      </c>
      <c r="S74" s="5">
        <v>3.56</v>
      </c>
      <c r="T74" s="107">
        <v>0.8</v>
      </c>
      <c r="U74" s="110">
        <f>(((Table5[[#This Row],[Watts Active]]*Power_On_Hours_Year/1000)*Active_Duty_Cycle)+((Table5[[#This Row],[Watts Idle]]*Power_On_Hours_Year/1000)*(100%-Active_Duty_Cycle)))*CostPerKWH</f>
        <v>4.0629297600000003</v>
      </c>
      <c r="V74" s="141">
        <f>Table5[Energy$year]/Table5[[#This Row],[SizTB]]</f>
        <v>2.0314648800000001</v>
      </c>
      <c r="W74" s="140">
        <v>79.989999999999995</v>
      </c>
      <c r="X74" s="6">
        <f>IF(Table5[[#This Row],[Cost]],Table5[[#This Row],[Cost]]/Table5[[#This Row],[SizTB]]*Exchange_Rate,"")</f>
        <v>39.994999999999997</v>
      </c>
      <c r="Y74" s="145">
        <f>Table5[[#This Row],[Cost]]+((CompareWarrYrs-Table5[[#This Row],[Warranty]])*(Incremental_Warr_Yr*Table5[[#This Row],[Cost]]))*Exchange_Rate</f>
        <v>97.587799999999987</v>
      </c>
      <c r="Z74" s="6">
        <f>IF(Table5[[#This Row],[$+Warr]],Table5[[#This Row],[$+Warr]]/Table5[[#This Row],[SizTB]],"")</f>
        <v>48.793899999999994</v>
      </c>
      <c r="AA74" s="6">
        <f>IFERROR(Table5[[#This Row],[$PerTB]]/CompareWarrYrs,"")</f>
        <v>9.758779999999998</v>
      </c>
      <c r="AB74" s="6">
        <f>IF(OR(Table5[[#This Row],[$ TB/year]]="",Table5[[#This Row],[Energy$yearPerTB]]=""),"",Table5[[#This Row],[$ TB/year]]+Table5[[#This Row],[Energy$yearPerTB]])</f>
        <v>11.790244879999998</v>
      </c>
      <c r="AC74" s="155">
        <v>20</v>
      </c>
      <c r="AD74" s="156">
        <v>22</v>
      </c>
      <c r="AE74" s="40"/>
    </row>
    <row r="75" spans="1:31" x14ac:dyDescent="0.25">
      <c r="A75" s="1">
        <v>43563</v>
      </c>
      <c r="B75" t="s">
        <v>10</v>
      </c>
      <c r="C75" s="95" t="s">
        <v>13</v>
      </c>
      <c r="D75" s="27" t="s">
        <v>49</v>
      </c>
      <c r="E75" s="81">
        <v>3.5</v>
      </c>
      <c r="F75" s="69">
        <v>3</v>
      </c>
      <c r="G75" s="42">
        <v>5900</v>
      </c>
      <c r="H75" s="5">
        <v>5.0999999999999996</v>
      </c>
      <c r="I75" s="5">
        <v>11.99</v>
      </c>
      <c r="J75" s="61">
        <f>(Table5[[#This Row],[RPM]]/5400-1)</f>
        <v>9.259259259259256E-2</v>
      </c>
      <c r="K75" s="45">
        <v>180</v>
      </c>
      <c r="L75">
        <v>3</v>
      </c>
      <c r="M75" s="36">
        <v>600000</v>
      </c>
      <c r="N75">
        <v>180</v>
      </c>
      <c r="O75" s="36">
        <v>1000000</v>
      </c>
      <c r="P75" s="35">
        <f t="shared" si="9"/>
        <v>100000000000000</v>
      </c>
      <c r="Q75" s="53">
        <f>12*2</f>
        <v>24</v>
      </c>
      <c r="R75" s="5">
        <v>4.8</v>
      </c>
      <c r="S75" s="5">
        <v>4.8</v>
      </c>
      <c r="T75" s="107">
        <v>0.6</v>
      </c>
      <c r="U75" s="110">
        <f>(((Table5[[#This Row],[Watts Active]]*Power_On_Hours_Year/1000)*Active_Duty_Cycle)+((Table5[[#This Row],[Watts Idle]]*Power_On_Hours_Year/1000)*(100%-Active_Duty_Cycle)))*CostPerKWH</f>
        <v>5.2594560000000001</v>
      </c>
      <c r="V75" s="141">
        <f>Table5[Energy$year]/Table5[[#This Row],[SizTB]]</f>
        <v>1.753152</v>
      </c>
      <c r="W75" s="140">
        <v>100</v>
      </c>
      <c r="X75" s="6">
        <f>IF(Table5[[#This Row],[Cost]],Table5[[#This Row],[Cost]]/Table5[[#This Row],[SizTB]]*Exchange_Rate,"")</f>
        <v>33.333333333333336</v>
      </c>
      <c r="Y75" s="145">
        <f>Table5[[#This Row],[Cost]]+((CompareWarrYrs-Table5[[#This Row],[Warranty]])*(Incremental_Warr_Yr*Table5[[#This Row],[Cost]]))*Exchange_Rate</f>
        <v>122</v>
      </c>
      <c r="Z75" s="6">
        <f>IF(Table5[[#This Row],[$+Warr]],Table5[[#This Row],[$+Warr]]/Table5[[#This Row],[SizTB]],"")</f>
        <v>40.666666666666664</v>
      </c>
      <c r="AA75" s="6">
        <f>IFERROR(Table5[[#This Row],[$PerTB]]/CompareWarrYrs,"")</f>
        <v>8.1333333333333329</v>
      </c>
      <c r="AB75" s="6">
        <f>IF(OR(Table5[[#This Row],[$ TB/year]]="",Table5[[#This Row],[Energy$yearPerTB]]=""),"",Table5[[#This Row],[$ TB/year]]+Table5[[#This Row],[Energy$yearPerTB]])</f>
        <v>9.8864853333333329</v>
      </c>
      <c r="AC75" s="155">
        <v>24</v>
      </c>
      <c r="AD75" s="156">
        <v>26</v>
      </c>
      <c r="AE75" s="40"/>
    </row>
    <row r="76" spans="1:31" x14ac:dyDescent="0.25">
      <c r="A76" s="1">
        <v>43563</v>
      </c>
      <c r="B76" t="s">
        <v>10</v>
      </c>
      <c r="C76" s="95" t="s">
        <v>13</v>
      </c>
      <c r="D76" s="27" t="s">
        <v>49</v>
      </c>
      <c r="E76" s="81">
        <v>3.5</v>
      </c>
      <c r="F76" s="69">
        <v>4</v>
      </c>
      <c r="G76" s="42">
        <v>5900</v>
      </c>
      <c r="H76" s="5">
        <v>5.0999999999999996</v>
      </c>
      <c r="I76" s="5">
        <v>9.5</v>
      </c>
      <c r="J76" s="61">
        <f>(Table5[[#This Row],[RPM]]/5400-1)</f>
        <v>9.259259259259256E-2</v>
      </c>
      <c r="K76" s="45">
        <v>180</v>
      </c>
      <c r="L76">
        <v>3</v>
      </c>
      <c r="M76" s="36">
        <v>600000</v>
      </c>
      <c r="N76">
        <v>180</v>
      </c>
      <c r="O76" s="36">
        <v>1000000</v>
      </c>
      <c r="P76" s="35">
        <f t="shared" si="9"/>
        <v>100000000000000</v>
      </c>
      <c r="Q76" s="53">
        <f t="shared" ref="Q76:Q78" si="10">12*1.8</f>
        <v>21.6</v>
      </c>
      <c r="R76" s="5">
        <v>4.8</v>
      </c>
      <c r="S76" s="5">
        <v>3.95</v>
      </c>
      <c r="T76" s="107">
        <v>0.5</v>
      </c>
      <c r="U76" s="110">
        <f>(((Table5[[#This Row],[Watts Active]]*Power_On_Hours_Year/1000)*Active_Duty_Cycle)+((Table5[[#This Row],[Watts Idle]]*Power_On_Hours_Year/1000)*(100%-Active_Duty_Cycle)))*CostPerKWH</f>
        <v>4.5143664000000001</v>
      </c>
      <c r="V76" s="141">
        <f>Table5[Energy$year]/Table5[[#This Row],[SizTB]]</f>
        <v>1.1285916</v>
      </c>
      <c r="W76" s="140">
        <v>115.58</v>
      </c>
      <c r="X76" s="6">
        <f>IF(Table5[[#This Row],[Cost]],Table5[[#This Row],[Cost]]/Table5[[#This Row],[SizTB]]*Exchange_Rate,"")</f>
        <v>28.895</v>
      </c>
      <c r="Y76" s="145">
        <f>Table5[[#This Row],[Cost]]+((CompareWarrYrs-Table5[[#This Row],[Warranty]])*(Incremental_Warr_Yr*Table5[[#This Row],[Cost]]))*Exchange_Rate</f>
        <v>141.0076</v>
      </c>
      <c r="Z76" s="6">
        <f>IF(Table5[[#This Row],[$+Warr]],Table5[[#This Row],[$+Warr]]/Table5[[#This Row],[SizTB]],"")</f>
        <v>35.251899999999999</v>
      </c>
      <c r="AA76" s="6">
        <f>IFERROR(Table5[[#This Row],[$PerTB]]/CompareWarrYrs,"")</f>
        <v>7.0503799999999996</v>
      </c>
      <c r="AB76" s="6">
        <f>IF(OR(Table5[[#This Row],[$ TB/year]]="",Table5[[#This Row],[Energy$yearPerTB]]=""),"",Table5[[#This Row],[$ TB/year]]+Table5[[#This Row],[Energy$yearPerTB]])</f>
        <v>8.1789716000000006</v>
      </c>
      <c r="AC76" s="155">
        <v>24</v>
      </c>
      <c r="AD76" s="156">
        <v>26</v>
      </c>
      <c r="AE76" s="40"/>
    </row>
    <row r="77" spans="1:31" x14ac:dyDescent="0.25">
      <c r="A77" s="1">
        <v>43563</v>
      </c>
      <c r="B77" t="s">
        <v>10</v>
      </c>
      <c r="C77" s="95" t="s">
        <v>13</v>
      </c>
      <c r="D77" s="27" t="s">
        <v>49</v>
      </c>
      <c r="E77" s="81">
        <v>3.5</v>
      </c>
      <c r="F77" s="69">
        <v>6</v>
      </c>
      <c r="G77" s="42">
        <v>7200</v>
      </c>
      <c r="H77" s="5">
        <v>4</v>
      </c>
      <c r="I77" s="5">
        <v>9.5</v>
      </c>
      <c r="J77" s="61">
        <f>(Table5[[#This Row],[RPM]]/5400-1)</f>
        <v>0.33333333333333326</v>
      </c>
      <c r="K77" s="45">
        <v>210</v>
      </c>
      <c r="L77">
        <v>3</v>
      </c>
      <c r="M77" s="36">
        <v>600000</v>
      </c>
      <c r="N77">
        <v>180</v>
      </c>
      <c r="O77" s="36">
        <v>1000000</v>
      </c>
      <c r="P77" s="35">
        <v>1000000000000000</v>
      </c>
      <c r="Q77" s="53">
        <f t="shared" si="10"/>
        <v>21.6</v>
      </c>
      <c r="R77" s="5">
        <v>8.1</v>
      </c>
      <c r="S77" s="5">
        <v>7.2</v>
      </c>
      <c r="T77" s="107">
        <v>0.6</v>
      </c>
      <c r="U77" s="110">
        <f>(((Table5[[#This Row],[Watts Active]]*Power_On_Hours_Year/1000)*Active_Duty_Cycle)+((Table5[[#This Row],[Watts Idle]]*Power_On_Hours_Year/1000)*(100%-Active_Duty_Cycle)))*CostPerKWH</f>
        <v>8.0864136000000002</v>
      </c>
      <c r="V77" s="141">
        <f>Table5[Energy$year]/Table5[[#This Row],[SizTB]]</f>
        <v>1.3477356</v>
      </c>
      <c r="W77" s="140">
        <v>184.99</v>
      </c>
      <c r="X77" s="6">
        <f>IF(Table5[[#This Row],[Cost]],Table5[[#This Row],[Cost]]/Table5[[#This Row],[SizTB]]*Exchange_Rate,"")</f>
        <v>30.831666666666667</v>
      </c>
      <c r="Y77" s="145">
        <f>Table5[[#This Row],[Cost]]+((CompareWarrYrs-Table5[[#This Row],[Warranty]])*(Incremental_Warr_Yr*Table5[[#This Row],[Cost]]))*Exchange_Rate</f>
        <v>225.68780000000001</v>
      </c>
      <c r="Z77" s="6">
        <f>IF(Table5[[#This Row],[$+Warr]],Table5[[#This Row],[$+Warr]]/Table5[[#This Row],[SizTB]],"")</f>
        <v>37.614633333333337</v>
      </c>
      <c r="AA77" s="6">
        <f>IFERROR(Table5[[#This Row],[$PerTB]]/CompareWarrYrs,"")</f>
        <v>7.5229266666666676</v>
      </c>
      <c r="AB77" s="6">
        <f>IF(OR(Table5[[#This Row],[$ TB/year]]="",Table5[[#This Row],[Energy$yearPerTB]]=""),"",Table5[[#This Row],[$ TB/year]]+Table5[[#This Row],[Energy$yearPerTB]])</f>
        <v>8.8706622666666668</v>
      </c>
      <c r="AC77" s="155">
        <v>28</v>
      </c>
      <c r="AD77" s="156">
        <v>29</v>
      </c>
      <c r="AE77" s="40"/>
    </row>
    <row r="78" spans="1:31" x14ac:dyDescent="0.25">
      <c r="A78" s="1">
        <v>43563</v>
      </c>
      <c r="B78" t="s">
        <v>10</v>
      </c>
      <c r="C78" s="95" t="s">
        <v>13</v>
      </c>
      <c r="D78" s="27" t="s">
        <v>49</v>
      </c>
      <c r="E78" s="81">
        <v>3.5</v>
      </c>
      <c r="F78" s="69">
        <v>8</v>
      </c>
      <c r="G78" s="42">
        <v>7200</v>
      </c>
      <c r="H78" s="5">
        <v>4</v>
      </c>
      <c r="I78" s="5">
        <v>9.5</v>
      </c>
      <c r="J78" s="61">
        <f>(Table5[[#This Row],[RPM]]/5400-1)</f>
        <v>0.33333333333333326</v>
      </c>
      <c r="K78" s="45">
        <v>210</v>
      </c>
      <c r="L78">
        <v>3</v>
      </c>
      <c r="M78" s="36">
        <v>600000</v>
      </c>
      <c r="N78">
        <v>180</v>
      </c>
      <c r="O78" s="36">
        <v>1000000</v>
      </c>
      <c r="P78" s="35">
        <v>1000000000000000</v>
      </c>
      <c r="Q78" s="53">
        <f t="shared" si="10"/>
        <v>21.6</v>
      </c>
      <c r="R78" s="5">
        <v>8.8000000000000007</v>
      </c>
      <c r="S78" s="5">
        <v>7.6</v>
      </c>
      <c r="T78" s="107">
        <v>0.6</v>
      </c>
      <c r="U78" s="110">
        <f>(((Table5[[#This Row],[Watts Active]]*Power_On_Hours_Year/1000)*Active_Duty_Cycle)+((Table5[[#This Row],[Watts Idle]]*Power_On_Hours_Year/1000)*(100%-Active_Duty_Cycle)))*CostPerKWH</f>
        <v>8.5904448000000002</v>
      </c>
      <c r="V78" s="141">
        <f>Table5[Energy$year]/Table5[[#This Row],[SizTB]]</f>
        <v>1.0738056</v>
      </c>
      <c r="W78" s="140">
        <v>231.99</v>
      </c>
      <c r="X78" s="6">
        <f>IF(Table5[[#This Row],[Cost]],Table5[[#This Row],[Cost]]/Table5[[#This Row],[SizTB]]*Exchange_Rate,"")</f>
        <v>28.998750000000001</v>
      </c>
      <c r="Y78" s="145">
        <f>Table5[[#This Row],[Cost]]+((CompareWarrYrs-Table5[[#This Row],[Warranty]])*(Incremental_Warr_Yr*Table5[[#This Row],[Cost]]))*Exchange_Rate</f>
        <v>283.02780000000001</v>
      </c>
      <c r="Z78" s="6">
        <f>IF(Table5[[#This Row],[$+Warr]],Table5[[#This Row],[$+Warr]]/Table5[[#This Row],[SizTB]],"")</f>
        <v>35.378475000000002</v>
      </c>
      <c r="AA78" s="6">
        <f>IFERROR(Table5[[#This Row],[$PerTB]]/CompareWarrYrs,"")</f>
        <v>7.0756950000000005</v>
      </c>
      <c r="AB78" s="6">
        <f>IF(OR(Table5[[#This Row],[$ TB/year]]="",Table5[[#This Row],[Energy$yearPerTB]]=""),"",Table5[[#This Row],[$ TB/year]]+Table5[[#This Row],[Energy$yearPerTB]])</f>
        <v>8.1495005999999997</v>
      </c>
      <c r="AC78" s="155">
        <v>28</v>
      </c>
      <c r="AD78" s="156">
        <v>29</v>
      </c>
      <c r="AE78" s="40"/>
    </row>
    <row r="79" spans="1:31" x14ac:dyDescent="0.25">
      <c r="A79" s="1">
        <v>43563</v>
      </c>
      <c r="B79" t="s">
        <v>10</v>
      </c>
      <c r="C79" s="95" t="s">
        <v>13</v>
      </c>
      <c r="D79" s="27" t="s">
        <v>49</v>
      </c>
      <c r="E79" s="81">
        <v>3.5</v>
      </c>
      <c r="F79" s="69">
        <v>10</v>
      </c>
      <c r="G79" s="42">
        <v>7200</v>
      </c>
      <c r="H79" s="5"/>
      <c r="I79" s="5"/>
      <c r="J79" s="61">
        <f>(Table5[[#This Row],[RPM]]/5400-1)</f>
        <v>0.33333333333333326</v>
      </c>
      <c r="K79" s="45">
        <v>210</v>
      </c>
      <c r="L79">
        <v>3</v>
      </c>
      <c r="M79" s="36">
        <v>600000</v>
      </c>
      <c r="N79">
        <v>180</v>
      </c>
      <c r="O79" s="36">
        <v>1000000</v>
      </c>
      <c r="P79" s="35">
        <v>1000000000000000</v>
      </c>
      <c r="Q79" s="53">
        <f t="shared" ref="Q79:Q80" si="11">1.672*12+1.078*5</f>
        <v>25.454000000000001</v>
      </c>
      <c r="R79" s="5">
        <v>7.59</v>
      </c>
      <c r="S79" s="5">
        <v>5.07</v>
      </c>
      <c r="T79" s="107">
        <v>1.17</v>
      </c>
      <c r="U79" s="110">
        <f>(((Table5[[#This Row],[Watts Active]]*Power_On_Hours_Year/1000)*Active_Duty_Cycle)+((Table5[[#This Row],[Watts Idle]]*Power_On_Hours_Year/1000)*(100%-Active_Duty_Cycle)))*CostPerKWH</f>
        <v>6.1075432800000007</v>
      </c>
      <c r="V79" s="141">
        <f>Table5[Energy$year]/Table5[[#This Row],[SizTB]]</f>
        <v>0.61075432800000007</v>
      </c>
      <c r="W79" s="140">
        <v>299.99</v>
      </c>
      <c r="X79" s="6">
        <f>IF(Table5[[#This Row],[Cost]],Table5[[#This Row],[Cost]]/Table5[[#This Row],[SizTB]]*Exchange_Rate,"")</f>
        <v>29.999000000000002</v>
      </c>
      <c r="Y79" s="145">
        <f>Table5[[#This Row],[Cost]]+((CompareWarrYrs-Table5[[#This Row],[Warranty]])*(Incremental_Warr_Yr*Table5[[#This Row],[Cost]]))*Exchange_Rate</f>
        <v>365.98779999999999</v>
      </c>
      <c r="Z79" s="6">
        <f>IF(Table5[[#This Row],[$+Warr]],Table5[[#This Row],[$+Warr]]/Table5[[#This Row],[SizTB]],"")</f>
        <v>36.598779999999998</v>
      </c>
      <c r="AA79" s="6">
        <f>IFERROR(Table5[[#This Row],[$PerTB]]/CompareWarrYrs,"")</f>
        <v>7.3197559999999999</v>
      </c>
      <c r="AB79" s="6">
        <f>IF(OR(Table5[[#This Row],[$ TB/year]]="",Table5[[#This Row],[Energy$yearPerTB]]=""),"",Table5[[#This Row],[$ TB/year]]+Table5[[#This Row],[Energy$yearPerTB]])</f>
        <v>7.9305103280000004</v>
      </c>
      <c r="AC79" s="155">
        <v>30</v>
      </c>
      <c r="AD79" s="156">
        <v>34</v>
      </c>
      <c r="AE79" s="40"/>
    </row>
    <row r="80" spans="1:31" x14ac:dyDescent="0.25">
      <c r="A80" s="1">
        <v>43563</v>
      </c>
      <c r="B80" t="s">
        <v>10</v>
      </c>
      <c r="C80" s="95" t="s">
        <v>13</v>
      </c>
      <c r="D80" s="106" t="s">
        <v>49</v>
      </c>
      <c r="E80" s="81">
        <v>3.5</v>
      </c>
      <c r="F80" s="69">
        <v>12</v>
      </c>
      <c r="G80" s="42">
        <v>7200</v>
      </c>
      <c r="H80" s="5">
        <v>4.16</v>
      </c>
      <c r="I80" s="5"/>
      <c r="J80" s="61">
        <f>(Table5[[#This Row],[RPM]]/5400-1)</f>
        <v>0.33333333333333326</v>
      </c>
      <c r="K80" s="45">
        <v>210</v>
      </c>
      <c r="L80">
        <v>3</v>
      </c>
      <c r="M80" s="36">
        <v>600000</v>
      </c>
      <c r="N80">
        <v>180</v>
      </c>
      <c r="O80" s="36">
        <v>1000000</v>
      </c>
      <c r="P80" s="35">
        <v>1000000000000000</v>
      </c>
      <c r="Q80" s="53">
        <f t="shared" si="11"/>
        <v>25.454000000000001</v>
      </c>
      <c r="R80" s="5">
        <v>7.59</v>
      </c>
      <c r="S80" s="5">
        <v>5.07</v>
      </c>
      <c r="T80" s="107">
        <v>1.17</v>
      </c>
      <c r="U80" s="110">
        <f>(((Table5[[#This Row],[Watts Active]]*Power_On_Hours_Year/1000)*Active_Duty_Cycle)+((Table5[[#This Row],[Watts Idle]]*Power_On_Hours_Year/1000)*(100%-Active_Duty_Cycle)))*CostPerKWH</f>
        <v>6.1075432800000007</v>
      </c>
      <c r="V80" s="141">
        <f>Table5[Energy$year]/Table5[[#This Row],[SizTB]]</f>
        <v>0.50896194000000006</v>
      </c>
      <c r="W80" s="140">
        <v>369.59</v>
      </c>
      <c r="X80" s="6">
        <f>IF(Table5[[#This Row],[Cost]],Table5[[#This Row],[Cost]]/Table5[[#This Row],[SizTB]]*Exchange_Rate,"")</f>
        <v>30.799166666666665</v>
      </c>
      <c r="Y80" s="145">
        <f>Table5[[#This Row],[Cost]]+((CompareWarrYrs-Table5[[#This Row],[Warranty]])*(Incremental_Warr_Yr*Table5[[#This Row],[Cost]]))*Exchange_Rate</f>
        <v>450.89979999999997</v>
      </c>
      <c r="Z80" s="6">
        <f>IF(Table5[[#This Row],[$+Warr]],Table5[[#This Row],[$+Warr]]/Table5[[#This Row],[SizTB]],"")</f>
        <v>37.574983333333329</v>
      </c>
      <c r="AA80" s="6">
        <f>IFERROR(Table5[[#This Row],[$PerTB]]/CompareWarrYrs,"")</f>
        <v>7.5149966666666659</v>
      </c>
      <c r="AB80" s="6">
        <f>IF(OR(Table5[[#This Row],[$ TB/year]]="",Table5[[#This Row],[Energy$yearPerTB]]=""),"",Table5[[#This Row],[$ TB/year]]+Table5[[#This Row],[Energy$yearPerTB]])</f>
        <v>8.0239586066666657</v>
      </c>
      <c r="AC80" s="155">
        <v>30</v>
      </c>
      <c r="AD80" s="156">
        <v>34</v>
      </c>
      <c r="AE80" s="40"/>
    </row>
    <row r="81" spans="1:31" x14ac:dyDescent="0.25">
      <c r="A81" s="1">
        <v>43563</v>
      </c>
      <c r="B81" t="s">
        <v>10</v>
      </c>
      <c r="C81" s="100" t="s">
        <v>13</v>
      </c>
      <c r="D81" s="106" t="s">
        <v>49</v>
      </c>
      <c r="E81" s="81">
        <v>3.5</v>
      </c>
      <c r="F81" s="69">
        <v>14</v>
      </c>
      <c r="G81" s="42">
        <v>7200</v>
      </c>
      <c r="H81" s="5">
        <v>4.16</v>
      </c>
      <c r="I81" s="5"/>
      <c r="J81" s="61">
        <f>(Table5[[#This Row],[RPM]]/5400-1)</f>
        <v>0.33333333333333326</v>
      </c>
      <c r="K81" s="45">
        <v>210</v>
      </c>
      <c r="L81">
        <v>3</v>
      </c>
      <c r="M81" s="36">
        <v>600000</v>
      </c>
      <c r="N81">
        <v>180</v>
      </c>
      <c r="O81" s="36">
        <v>1000000</v>
      </c>
      <c r="P81" s="35">
        <v>1000000000000000</v>
      </c>
      <c r="Q81" s="53">
        <f>1.672*12+1.078*5</f>
        <v>25.454000000000001</v>
      </c>
      <c r="R81" s="5">
        <v>7.59</v>
      </c>
      <c r="S81" s="5">
        <v>5.07</v>
      </c>
      <c r="T81" s="107">
        <v>1.17</v>
      </c>
      <c r="U81" s="110">
        <f>(((Table5[[#This Row],[Watts Active]]*Power_On_Hours_Year/1000)*Active_Duty_Cycle)+((Table5[[#This Row],[Watts Idle]]*Power_On_Hours_Year/1000)*(100%-Active_Duty_Cycle)))*CostPerKWH</f>
        <v>6.1075432800000007</v>
      </c>
      <c r="V81" s="141">
        <f>Table5[Energy$year]/Table5[[#This Row],[SizTB]]</f>
        <v>0.43625309142857149</v>
      </c>
      <c r="W81" s="140">
        <v>499.99</v>
      </c>
      <c r="X81" s="6">
        <f>IF(Table5[[#This Row],[Cost]],Table5[[#This Row],[Cost]]/Table5[[#This Row],[SizTB]]*Exchange_Rate,"")</f>
        <v>35.713571428571427</v>
      </c>
      <c r="Y81" s="145">
        <f>Table5[[#This Row],[Cost]]+((CompareWarrYrs-Table5[[#This Row],[Warranty]])*(Incremental_Warr_Yr*Table5[[#This Row],[Cost]]))*Exchange_Rate</f>
        <v>609.98779999999999</v>
      </c>
      <c r="Z81" s="6">
        <f>IF(Table5[[#This Row],[$+Warr]],Table5[[#This Row],[$+Warr]]/Table5[[#This Row],[SizTB]],"")</f>
        <v>43.57055714285714</v>
      </c>
      <c r="AA81" s="6">
        <f>IFERROR(Table5[[#This Row],[$PerTB]]/CompareWarrYrs,"")</f>
        <v>8.7141114285714281</v>
      </c>
      <c r="AB81" s="6">
        <f>IF(OR(Table5[[#This Row],[$ TB/year]]="",Table5[[#This Row],[Energy$yearPerTB]]=""),"",Table5[[#This Row],[$ TB/year]]+Table5[[#This Row],[Energy$yearPerTB]])</f>
        <v>9.1503645200000001</v>
      </c>
      <c r="AC81" s="155">
        <v>20</v>
      </c>
      <c r="AD81" s="156">
        <v>28</v>
      </c>
      <c r="AE81" s="40"/>
    </row>
    <row r="82" spans="1:31" x14ac:dyDescent="0.25">
      <c r="A82" s="1">
        <v>43531</v>
      </c>
      <c r="B82" t="s">
        <v>10</v>
      </c>
      <c r="C82" s="95" t="s">
        <v>17</v>
      </c>
      <c r="D82" s="27" t="s">
        <v>49</v>
      </c>
      <c r="E82" s="81">
        <v>3.5</v>
      </c>
      <c r="F82" s="69">
        <v>2</v>
      </c>
      <c r="G82" s="42">
        <v>7200</v>
      </c>
      <c r="H82" s="5">
        <v>4.16</v>
      </c>
      <c r="I82" s="5"/>
      <c r="J82" s="61">
        <f>(Table5[[#This Row],[RPM]]/5400-1)</f>
        <v>0.33333333333333326</v>
      </c>
      <c r="K82" s="45">
        <v>195</v>
      </c>
      <c r="L82">
        <v>5</v>
      </c>
      <c r="M82" s="36">
        <v>600000</v>
      </c>
      <c r="N82">
        <v>300</v>
      </c>
      <c r="O82" s="36">
        <v>1200000</v>
      </c>
      <c r="P82" s="35">
        <v>1000000000000000</v>
      </c>
      <c r="Q82" s="53">
        <f>12*2</f>
        <v>24</v>
      </c>
      <c r="R82" s="5">
        <v>6.5</v>
      </c>
      <c r="S82" s="5">
        <v>4.6100000000000003</v>
      </c>
      <c r="T82" s="107">
        <v>0.8</v>
      </c>
      <c r="U82" s="110">
        <f>(((Table5[[#This Row],[Watts Active]]*Power_On_Hours_Year/1000)*Active_Duty_Cycle)+((Table5[[#This Row],[Watts Idle]]*Power_On_Hours_Year/1000)*(100%-Active_Duty_Cycle)))*CostPerKWH</f>
        <v>5.4654513600000012</v>
      </c>
      <c r="V82" s="141">
        <f>Table5[Energy$year]/Table5[[#This Row],[SizTB]]</f>
        <v>2.7327256800000006</v>
      </c>
      <c r="W82" s="140">
        <f>233.98/2</f>
        <v>116.99</v>
      </c>
      <c r="X82" s="6">
        <f>IF(Table5[[#This Row],[Cost]],Table5[[#This Row],[Cost]]/Table5[[#This Row],[SizTB]]*Exchange_Rate,"")</f>
        <v>58.494999999999997</v>
      </c>
      <c r="Y82" s="145">
        <f>Table5[[#This Row],[Cost]]+((CompareWarrYrs-Table5[[#This Row],[Warranty]])*(Incremental_Warr_Yr*Table5[[#This Row],[Cost]]))*Exchange_Rate</f>
        <v>116.99</v>
      </c>
      <c r="Z82" s="6">
        <f>IF(Table5[[#This Row],[$+Warr]],Table5[[#This Row],[$+Warr]]/Table5[[#This Row],[SizTB]],"")</f>
        <v>58.494999999999997</v>
      </c>
      <c r="AA82" s="6">
        <f>IFERROR(Table5[[#This Row],[$PerTB]]/CompareWarrYrs,"")</f>
        <v>11.699</v>
      </c>
      <c r="AB82" s="6">
        <f>IF(OR(Table5[[#This Row],[$ TB/year]]="",Table5[[#This Row],[Energy$yearPerTB]]=""),"",Table5[[#This Row],[$ TB/year]]+Table5[[#This Row],[Energy$yearPerTB]])</f>
        <v>14.43172568</v>
      </c>
      <c r="AC82" s="155">
        <v>30</v>
      </c>
      <c r="AD82" s="156">
        <v>34</v>
      </c>
      <c r="AE82" s="40"/>
    </row>
    <row r="83" spans="1:31" x14ac:dyDescent="0.25">
      <c r="A83" s="1">
        <v>43354</v>
      </c>
      <c r="B83" t="s">
        <v>10</v>
      </c>
      <c r="C83" s="95" t="s">
        <v>17</v>
      </c>
      <c r="D83" s="27" t="s">
        <v>49</v>
      </c>
      <c r="E83" s="81">
        <v>3.5</v>
      </c>
      <c r="F83" s="69">
        <v>4</v>
      </c>
      <c r="G83" s="42">
        <v>7200</v>
      </c>
      <c r="H83" s="5">
        <v>4.16</v>
      </c>
      <c r="I83" s="5"/>
      <c r="J83" s="61">
        <f>(Table5[[#This Row],[RPM]]/5400-1)</f>
        <v>0.33333333333333326</v>
      </c>
      <c r="K83" s="45">
        <v>214</v>
      </c>
      <c r="L83">
        <v>5</v>
      </c>
      <c r="M83" s="36">
        <v>600000</v>
      </c>
      <c r="N83">
        <v>300</v>
      </c>
      <c r="O83" s="36">
        <v>1200000</v>
      </c>
      <c r="P83" s="35">
        <v>1000000000000000</v>
      </c>
      <c r="Q83" s="53">
        <f>12*2</f>
        <v>24</v>
      </c>
      <c r="R83" s="5">
        <v>8.5</v>
      </c>
      <c r="S83" s="5">
        <v>5.45</v>
      </c>
      <c r="T83" s="107">
        <v>0.6</v>
      </c>
      <c r="U83" s="110">
        <f>(((Table5[[#This Row],[Watts Active]]*Power_On_Hours_Year/1000)*Active_Duty_Cycle)+((Table5[[#This Row],[Watts Idle]]*Power_On_Hours_Year/1000)*(100%-Active_Duty_Cycle)))*CostPerKWH</f>
        <v>6.6400632000000002</v>
      </c>
      <c r="V83" s="141">
        <f>Table5[Energy$year]/Table5[[#This Row],[SizTB]]</f>
        <v>1.6600158</v>
      </c>
      <c r="W83" s="140">
        <v>173.76</v>
      </c>
      <c r="X83" s="6">
        <f>IF(Table5[[#This Row],[Cost]],Table5[[#This Row],[Cost]]/Table5[[#This Row],[SizTB]]*Exchange_Rate,"")</f>
        <v>43.44</v>
      </c>
      <c r="Y83" s="145">
        <f>Table5[[#This Row],[Cost]]+((CompareWarrYrs-Table5[[#This Row],[Warranty]])*(Incremental_Warr_Yr*Table5[[#This Row],[Cost]]))*Exchange_Rate</f>
        <v>173.76</v>
      </c>
      <c r="Z83" s="6">
        <f>IF(Table5[[#This Row],[$+Warr]],Table5[[#This Row],[$+Warr]]/Table5[[#This Row],[SizTB]],"")</f>
        <v>43.44</v>
      </c>
      <c r="AA83" s="6">
        <f>IFERROR(Table5[[#This Row],[$PerTB]]/CompareWarrYrs,"")</f>
        <v>8.6879999999999988</v>
      </c>
      <c r="AB83" s="6">
        <f>IF(OR(Table5[[#This Row],[$ TB/year]]="",Table5[[#This Row],[Energy$yearPerTB]]=""),"",Table5[[#This Row],[$ TB/year]]+Table5[[#This Row],[Energy$yearPerTB]])</f>
        <v>10.348015799999999</v>
      </c>
      <c r="AC83" s="155">
        <v>30</v>
      </c>
      <c r="AD83" s="156">
        <v>34</v>
      </c>
      <c r="AE83" s="40"/>
    </row>
    <row r="84" spans="1:31" x14ac:dyDescent="0.25">
      <c r="A84" s="1">
        <v>43531</v>
      </c>
      <c r="B84" t="s">
        <v>10</v>
      </c>
      <c r="C84" s="95" t="s">
        <v>17</v>
      </c>
      <c r="D84" s="27" t="s">
        <v>49</v>
      </c>
      <c r="E84" s="81">
        <v>3.5</v>
      </c>
      <c r="F84" s="69">
        <v>6</v>
      </c>
      <c r="G84" s="42">
        <v>7200</v>
      </c>
      <c r="H84" s="5">
        <v>4.16</v>
      </c>
      <c r="I84" s="5"/>
      <c r="J84" s="61">
        <f>(Table5[[#This Row],[RPM]]/5400-1)</f>
        <v>0.33333333333333326</v>
      </c>
      <c r="K84" s="45">
        <v>214</v>
      </c>
      <c r="L84">
        <v>5</v>
      </c>
      <c r="M84" s="36">
        <v>600000</v>
      </c>
      <c r="N84">
        <v>300</v>
      </c>
      <c r="O84" s="36">
        <v>1200000</v>
      </c>
      <c r="P84" s="35">
        <v>1000000000000000</v>
      </c>
      <c r="Q84" s="53">
        <f>12*2</f>
        <v>24</v>
      </c>
      <c r="R84" s="5">
        <v>8.1</v>
      </c>
      <c r="S84" s="5">
        <v>7.5</v>
      </c>
      <c r="T84" s="107">
        <v>0.6</v>
      </c>
      <c r="U84" s="110">
        <f>(((Table5[[#This Row],[Watts Active]]*Power_On_Hours_Year/1000)*Active_Duty_Cycle)+((Table5[[#This Row],[Watts Idle]]*Power_On_Hours_Year/1000)*(100%-Active_Duty_Cycle)))*CostPerKWH</f>
        <v>8.3493864000000002</v>
      </c>
      <c r="V84" s="141">
        <f>Table5[Energy$year]/Table5[[#This Row],[SizTB]]</f>
        <v>1.3915644</v>
      </c>
      <c r="W84" s="140">
        <f>379.98/2</f>
        <v>189.99</v>
      </c>
      <c r="X84" s="6">
        <f>IF(Table5[[#This Row],[Cost]],Table5[[#This Row],[Cost]]/Table5[[#This Row],[SizTB]]*Exchange_Rate,"")</f>
        <v>31.665000000000003</v>
      </c>
      <c r="Y84" s="145">
        <f>Table5[[#This Row],[Cost]]+((CompareWarrYrs-Table5[[#This Row],[Warranty]])*(Incremental_Warr_Yr*Table5[[#This Row],[Cost]]))*Exchange_Rate</f>
        <v>189.99</v>
      </c>
      <c r="Z84" s="6">
        <f>IF(Table5[[#This Row],[$+Warr]],Table5[[#This Row],[$+Warr]]/Table5[[#This Row],[SizTB]],"")</f>
        <v>31.665000000000003</v>
      </c>
      <c r="AA84" s="6">
        <f>IFERROR(Table5[[#This Row],[$PerTB]]/CompareWarrYrs,"")</f>
        <v>6.3330000000000002</v>
      </c>
      <c r="AB84" s="6">
        <f>IF(OR(Table5[[#This Row],[$ TB/year]]="",Table5[[#This Row],[Energy$yearPerTB]]=""),"",Table5[[#This Row],[$ TB/year]]+Table5[[#This Row],[Energy$yearPerTB]])</f>
        <v>7.7245644000000002</v>
      </c>
      <c r="AC84" s="155">
        <v>30</v>
      </c>
      <c r="AD84" s="156">
        <v>34</v>
      </c>
      <c r="AE84" s="40"/>
    </row>
    <row r="85" spans="1:31" x14ac:dyDescent="0.25">
      <c r="A85" s="1">
        <v>43354</v>
      </c>
      <c r="B85" t="s">
        <v>10</v>
      </c>
      <c r="C85" s="95" t="s">
        <v>17</v>
      </c>
      <c r="D85" s="27" t="s">
        <v>49</v>
      </c>
      <c r="E85" s="81">
        <v>3.5</v>
      </c>
      <c r="F85" s="69">
        <v>8</v>
      </c>
      <c r="G85" s="42">
        <v>7200</v>
      </c>
      <c r="H85" s="5">
        <v>4.16</v>
      </c>
      <c r="I85" s="5"/>
      <c r="J85" s="61">
        <f>(Table5[[#This Row],[RPM]]/5400-1)</f>
        <v>0.33333333333333326</v>
      </c>
      <c r="K85" s="45">
        <v>214</v>
      </c>
      <c r="L85">
        <v>5</v>
      </c>
      <c r="M85" s="36">
        <v>600000</v>
      </c>
      <c r="N85">
        <v>300</v>
      </c>
      <c r="O85" s="36">
        <v>1200000</v>
      </c>
      <c r="P85" s="35">
        <v>1000000000000000</v>
      </c>
      <c r="Q85" s="53">
        <f>12*2</f>
        <v>24</v>
      </c>
      <c r="R85" s="5">
        <v>7.4</v>
      </c>
      <c r="S85" s="5">
        <v>4.4000000000000004</v>
      </c>
      <c r="T85" s="107">
        <v>0.8</v>
      </c>
      <c r="U85" s="110">
        <f>(((Table5[[#This Row],[Watts Active]]*Power_On_Hours_Year/1000)*Active_Duty_Cycle)+((Table5[[#This Row],[Watts Idle]]*Power_On_Hours_Year/1000)*(100%-Active_Duty_Cycle)))*CostPerKWH</f>
        <v>5.478600000000001</v>
      </c>
      <c r="V85" s="141">
        <f>Table5[Energy$year]/Table5[[#This Row],[SizTB]]</f>
        <v>0.68482500000000013</v>
      </c>
      <c r="W85" s="140">
        <f>529.14/2</f>
        <v>264.57</v>
      </c>
      <c r="X85" s="6">
        <f>IF(Table5[[#This Row],[Cost]],Table5[[#This Row],[Cost]]/Table5[[#This Row],[SizTB]]*Exchange_Rate,"")</f>
        <v>33.071249999999999</v>
      </c>
      <c r="Y85" s="145">
        <f>Table5[[#This Row],[Cost]]+((CompareWarrYrs-Table5[[#This Row],[Warranty]])*(Incremental_Warr_Yr*Table5[[#This Row],[Cost]]))*Exchange_Rate</f>
        <v>264.57</v>
      </c>
      <c r="Z85" s="6">
        <f>IF(Table5[[#This Row],[$+Warr]],Table5[[#This Row],[$+Warr]]/Table5[[#This Row],[SizTB]],"")</f>
        <v>33.071249999999999</v>
      </c>
      <c r="AA85" s="6">
        <f>IFERROR(Table5[[#This Row],[$PerTB]]/CompareWarrYrs,"")</f>
        <v>6.6142500000000002</v>
      </c>
      <c r="AB85" s="6">
        <f>IF(OR(Table5[[#This Row],[$ TB/year]]="",Table5[[#This Row],[Energy$yearPerTB]]=""),"",Table5[[#This Row],[$ TB/year]]+Table5[[#This Row],[Energy$yearPerTB]])</f>
        <v>7.2990750000000002</v>
      </c>
      <c r="AC85" s="155">
        <v>30</v>
      </c>
      <c r="AD85" s="156">
        <v>34</v>
      </c>
      <c r="AE85" s="40"/>
    </row>
    <row r="86" spans="1:31" x14ac:dyDescent="0.25">
      <c r="A86" s="1">
        <v>43531</v>
      </c>
      <c r="B86" t="s">
        <v>10</v>
      </c>
      <c r="C86" s="95" t="s">
        <v>17</v>
      </c>
      <c r="D86" s="27" t="s">
        <v>49</v>
      </c>
      <c r="E86" s="81">
        <v>3.5</v>
      </c>
      <c r="F86" s="69">
        <v>10</v>
      </c>
      <c r="G86" s="42">
        <v>7200</v>
      </c>
      <c r="H86" s="5">
        <v>4.16</v>
      </c>
      <c r="I86" s="5"/>
      <c r="J86" s="61">
        <f>(Table5[[#This Row],[RPM]]/5400-1)</f>
        <v>0.33333333333333326</v>
      </c>
      <c r="K86" s="45">
        <v>238</v>
      </c>
      <c r="L86">
        <v>5</v>
      </c>
      <c r="M86" s="36">
        <v>600000</v>
      </c>
      <c r="N86">
        <v>300</v>
      </c>
      <c r="O86" s="36">
        <v>1200000</v>
      </c>
      <c r="P86" s="35">
        <v>1000000000000000</v>
      </c>
      <c r="Q86" s="53">
        <v>25.45</v>
      </c>
      <c r="R86" s="5">
        <v>8.33</v>
      </c>
      <c r="S86" s="5">
        <v>5.07</v>
      </c>
      <c r="T86" s="107">
        <v>1.17</v>
      </c>
      <c r="U86" s="110">
        <f>(((Table5[[#This Row],[Watts Active]]*Power_On_Hours_Year/1000)*Active_Duty_Cycle)+((Table5[[#This Row],[Watts Idle]]*Power_On_Hours_Year/1000)*(100%-Active_Duty_Cycle)))*CostPerKWH</f>
        <v>6.2697098400000009</v>
      </c>
      <c r="V86" s="141">
        <f>Table5[Energy$year]/Table5[[#This Row],[SizTB]]</f>
        <v>0.62697098400000006</v>
      </c>
      <c r="W86" s="140">
        <f>649.98/2</f>
        <v>324.99</v>
      </c>
      <c r="X86" s="6">
        <f>IF(Table5[[#This Row],[Cost]],Table5[[#This Row],[Cost]]/Table5[[#This Row],[SizTB]]*Exchange_Rate,"")</f>
        <v>32.499000000000002</v>
      </c>
      <c r="Y86" s="145">
        <f>Table5[[#This Row],[Cost]]+((CompareWarrYrs-Table5[[#This Row],[Warranty]])*(Incremental_Warr_Yr*Table5[[#This Row],[Cost]]))*Exchange_Rate</f>
        <v>324.99</v>
      </c>
      <c r="Z86" s="6">
        <f>IF(Table5[[#This Row],[$+Warr]],Table5[[#This Row],[$+Warr]]/Table5[[#This Row],[SizTB]],"")</f>
        <v>32.499000000000002</v>
      </c>
      <c r="AA86" s="6">
        <f>IFERROR(Table5[[#This Row],[$PerTB]]/CompareWarrYrs,"")</f>
        <v>6.4998000000000005</v>
      </c>
      <c r="AB86" s="6">
        <f>IF(OR(Table5[[#This Row],[$ TB/year]]="",Table5[[#This Row],[Energy$yearPerTB]]=""),"",Table5[[#This Row],[$ TB/year]]+Table5[[#This Row],[Energy$yearPerTB]])</f>
        <v>7.1267709840000002</v>
      </c>
      <c r="AC86" s="155">
        <v>20</v>
      </c>
      <c r="AD86" s="156">
        <v>28</v>
      </c>
      <c r="AE86" s="40"/>
    </row>
    <row r="87" spans="1:31" x14ac:dyDescent="0.25">
      <c r="A87" s="1">
        <v>43531</v>
      </c>
      <c r="B87" t="s">
        <v>10</v>
      </c>
      <c r="C87" s="95" t="s">
        <v>17</v>
      </c>
      <c r="D87" s="106" t="s">
        <v>49</v>
      </c>
      <c r="E87" s="81">
        <v>3.5</v>
      </c>
      <c r="F87" s="69">
        <v>12</v>
      </c>
      <c r="G87" s="42">
        <v>7200</v>
      </c>
      <c r="H87" s="5">
        <v>4.16</v>
      </c>
      <c r="I87" s="5"/>
      <c r="J87" s="61">
        <f>(Table5[[#This Row],[RPM]]/5400-1)</f>
        <v>0.33333333333333326</v>
      </c>
      <c r="K87" s="45">
        <v>238</v>
      </c>
      <c r="L87">
        <v>5</v>
      </c>
      <c r="M87" s="36">
        <v>600000</v>
      </c>
      <c r="N87">
        <v>300</v>
      </c>
      <c r="O87" s="36">
        <v>1200000</v>
      </c>
      <c r="P87" s="35">
        <v>1000000000000000</v>
      </c>
      <c r="Q87" s="53">
        <v>25.45</v>
      </c>
      <c r="R87" s="5">
        <v>8.33</v>
      </c>
      <c r="S87" s="5">
        <v>5.07</v>
      </c>
      <c r="T87" s="107">
        <v>1.17</v>
      </c>
      <c r="U87" s="110">
        <f>(((Table5[[#This Row],[Watts Active]]*Power_On_Hours_Year/1000)*Active_Duty_Cycle)+((Table5[[#This Row],[Watts Idle]]*Power_On_Hours_Year/1000)*(100%-Active_Duty_Cycle)))*CostPerKWH</f>
        <v>6.2697098400000009</v>
      </c>
      <c r="V87" s="141">
        <f>Table5[Energy$year]/Table5[[#This Row],[SizTB]]</f>
        <v>0.52247582000000004</v>
      </c>
      <c r="W87" s="140">
        <f>823.98/2</f>
        <v>411.99</v>
      </c>
      <c r="X87" s="6">
        <f>IF(Table5[[#This Row],[Cost]],Table5[[#This Row],[Cost]]/Table5[[#This Row],[SizTB]]*Exchange_Rate,"")</f>
        <v>34.332500000000003</v>
      </c>
      <c r="Y87" s="145">
        <f>Table5[[#This Row],[Cost]]+((CompareWarrYrs-Table5[[#This Row],[Warranty]])*(Incremental_Warr_Yr*Table5[[#This Row],[Cost]]))*Exchange_Rate</f>
        <v>411.99</v>
      </c>
      <c r="Z87" s="6">
        <f>IF(Table5[[#This Row],[$+Warr]],Table5[[#This Row],[$+Warr]]/Table5[[#This Row],[SizTB]],"")</f>
        <v>34.332500000000003</v>
      </c>
      <c r="AA87" s="6">
        <f>IFERROR(Table5[[#This Row],[$PerTB]]/CompareWarrYrs,"")</f>
        <v>6.8665000000000003</v>
      </c>
      <c r="AB87" s="6">
        <f>IF(OR(Table5[[#This Row],[$ TB/year]]="",Table5[[#This Row],[Energy$yearPerTB]]=""),"",Table5[[#This Row],[$ TB/year]]+Table5[[#This Row],[Energy$yearPerTB]])</f>
        <v>7.3889758200000006</v>
      </c>
      <c r="AC87" s="155">
        <v>20</v>
      </c>
      <c r="AD87" s="156">
        <v>28</v>
      </c>
      <c r="AE87" s="40"/>
    </row>
    <row r="88" spans="1:31" x14ac:dyDescent="0.25">
      <c r="A88" s="1">
        <v>43531</v>
      </c>
      <c r="B88" t="s">
        <v>10</v>
      </c>
      <c r="C88" s="100" t="s">
        <v>17</v>
      </c>
      <c r="D88" s="106" t="s">
        <v>49</v>
      </c>
      <c r="E88" s="81">
        <v>3.5</v>
      </c>
      <c r="F88" s="69">
        <v>14</v>
      </c>
      <c r="G88" s="42">
        <v>7200</v>
      </c>
      <c r="H88" s="5">
        <v>4.16</v>
      </c>
      <c r="I88" s="5"/>
      <c r="J88" s="61">
        <f>(Table5[[#This Row],[RPM]]/5400-1)</f>
        <v>0.33333333333333326</v>
      </c>
      <c r="K88" s="45">
        <v>238</v>
      </c>
      <c r="L88">
        <v>5</v>
      </c>
      <c r="M88" s="36">
        <v>600000</v>
      </c>
      <c r="N88">
        <v>300</v>
      </c>
      <c r="O88" s="36">
        <v>1200000</v>
      </c>
      <c r="P88" s="35">
        <v>1000000000000000</v>
      </c>
      <c r="Q88" s="53">
        <v>25.45</v>
      </c>
      <c r="R88" s="5">
        <v>8.33</v>
      </c>
      <c r="S88" s="5">
        <v>5.07</v>
      </c>
      <c r="T88" s="107">
        <v>1.17</v>
      </c>
      <c r="U88" s="110">
        <f>(((Table5[[#This Row],[Watts Active]]*Power_On_Hours_Year/1000)*Active_Duty_Cycle)+((Table5[[#This Row],[Watts Idle]]*Power_On_Hours_Year/1000)*(100%-Active_Duty_Cycle)))*CostPerKWH</f>
        <v>6.2697098400000009</v>
      </c>
      <c r="V88" s="141">
        <f>Table5[Energy$year]/Table5[[#This Row],[SizTB]]</f>
        <v>0.44783641714285721</v>
      </c>
      <c r="W88" s="140">
        <f>1119.98/2</f>
        <v>559.99</v>
      </c>
      <c r="X88" s="6">
        <f>IF(Table5[[#This Row],[Cost]],Table5[[#This Row],[Cost]]/Table5[[#This Row],[SizTB]]*Exchange_Rate,"")</f>
        <v>39.999285714285712</v>
      </c>
      <c r="Y88" s="145">
        <f>Table5[[#This Row],[Cost]]+((CompareWarrYrs-Table5[[#This Row],[Warranty]])*(Incremental_Warr_Yr*Table5[[#This Row],[Cost]]))*Exchange_Rate</f>
        <v>559.99</v>
      </c>
      <c r="Z88" s="6">
        <f>IF(Table5[[#This Row],[$+Warr]],Table5[[#This Row],[$+Warr]]/Table5[[#This Row],[SizTB]],"")</f>
        <v>39.999285714285712</v>
      </c>
      <c r="AA88" s="6">
        <f>IFERROR(Table5[[#This Row],[$PerTB]]/CompareWarrYrs,"")</f>
        <v>7.9998571428571426</v>
      </c>
      <c r="AB88" s="6">
        <f>IF(OR(Table5[[#This Row],[$ TB/year]]="",Table5[[#This Row],[Energy$yearPerTB]]=""),"",Table5[[#This Row],[$ TB/year]]+Table5[[#This Row],[Energy$yearPerTB]])</f>
        <v>8.4476935599999994</v>
      </c>
      <c r="AC88" s="155">
        <v>20</v>
      </c>
      <c r="AD88" s="156">
        <v>28</v>
      </c>
      <c r="AE88" s="40"/>
    </row>
    <row r="89" spans="1:31" ht="15.75" thickBot="1" x14ac:dyDescent="0.3">
      <c r="A89" s="176">
        <v>43166</v>
      </c>
      <c r="B89" s="175" t="s">
        <v>10</v>
      </c>
      <c r="C89" s="177" t="s">
        <v>14</v>
      </c>
      <c r="D89" s="178" t="s">
        <v>49</v>
      </c>
      <c r="E89" s="179">
        <v>3.5</v>
      </c>
      <c r="F89" s="179">
        <v>4</v>
      </c>
      <c r="G89" s="180">
        <v>5900</v>
      </c>
      <c r="H89" s="136">
        <v>5.0999999999999996</v>
      </c>
      <c r="I89" s="136">
        <v>16</v>
      </c>
      <c r="J89" s="181">
        <f>(Table5[[#This Row],[RPM]]/5400-1)</f>
        <v>9.259259259259256E-2</v>
      </c>
      <c r="K89" s="182">
        <v>140</v>
      </c>
      <c r="L89" s="175">
        <v>3</v>
      </c>
      <c r="M89" s="183">
        <v>300000</v>
      </c>
      <c r="N89" s="175">
        <v>180</v>
      </c>
      <c r="O89" s="183">
        <v>800000</v>
      </c>
      <c r="P89" s="137">
        <f t="shared" ref="P89:P92" si="12">10^14</f>
        <v>100000000000000</v>
      </c>
      <c r="Q89" s="184">
        <v>24</v>
      </c>
      <c r="R89" s="136">
        <v>6.49</v>
      </c>
      <c r="S89" s="136">
        <v>4.59</v>
      </c>
      <c r="T89" s="185">
        <v>0.77</v>
      </c>
      <c r="U89" s="186">
        <f>(((Table5[[#This Row],[Watts Active]]*Power_On_Hours_Year/1000)*Active_Duty_Cycle)+((Table5[[#This Row],[Watts Idle]]*Power_On_Hours_Year/1000)*(100%-Active_Duty_Cycle)))*CostPerKWH</f>
        <v>5.4457284000000001</v>
      </c>
      <c r="V89" s="142">
        <f>Table5[Energy$year]/Table5[[#This Row],[SizTB]]</f>
        <v>1.3614321</v>
      </c>
      <c r="W89" s="187">
        <v>176.12</v>
      </c>
      <c r="X89" s="174">
        <f>IF(Table5[[#This Row],[Cost]],Table5[[#This Row],[Cost]]/Table5[[#This Row],[SizTB]]*Exchange_Rate,"")</f>
        <v>44.03</v>
      </c>
      <c r="Y89" s="148">
        <f>Table5[[#This Row],[Cost]]+((CompareWarrYrs-Table5[[#This Row],[Warranty]])*(Incremental_Warr_Yr*Table5[[#This Row],[Cost]]))*Exchange_Rate</f>
        <v>214.8664</v>
      </c>
      <c r="Z89" s="148">
        <f>IF(Table5[[#This Row],[$+Warr]],Table5[[#This Row],[$+Warr]]/Table5[[#This Row],[SizTB]],"")</f>
        <v>53.7166</v>
      </c>
      <c r="AA89" s="148">
        <f>IFERROR(Table5[[#This Row],[$PerTB]]/CompareWarrYrs,"")</f>
        <v>10.743320000000001</v>
      </c>
      <c r="AB89" s="174">
        <f>IF(OR(Table5[[#This Row],[$ TB/year]]="",Table5[[#This Row],[Energy$yearPerTB]]=""),"",Table5[[#This Row],[$ TB/year]]+Table5[[#This Row],[Energy$yearPerTB]])</f>
        <v>12.104752100000001</v>
      </c>
      <c r="AC89" s="164"/>
      <c r="AD89" s="165"/>
      <c r="AE89" s="188"/>
    </row>
    <row r="90" spans="1:31" ht="15.75" thickTop="1" x14ac:dyDescent="0.25">
      <c r="A90" s="1">
        <v>43259</v>
      </c>
      <c r="B90" t="s">
        <v>41</v>
      </c>
      <c r="C90" s="95" t="s">
        <v>138</v>
      </c>
      <c r="D90" s="106" t="s">
        <v>125</v>
      </c>
      <c r="E90" s="81">
        <v>3.5</v>
      </c>
      <c r="F90" s="69">
        <v>1</v>
      </c>
      <c r="G90" s="42">
        <v>7200</v>
      </c>
      <c r="H90" s="5">
        <v>4.17</v>
      </c>
      <c r="I90" s="5"/>
      <c r="J90" s="61">
        <f>(Table5[[#This Row],[RPM]]/5400-1)</f>
        <v>0.33333333333333326</v>
      </c>
      <c r="K90" s="45">
        <v>182.2</v>
      </c>
      <c r="L90">
        <v>2</v>
      </c>
      <c r="M90" s="36"/>
      <c r="O90" s="36"/>
      <c r="P90" s="35">
        <f t="shared" si="12"/>
        <v>100000000000000</v>
      </c>
      <c r="Q90" s="53"/>
      <c r="R90" s="5">
        <v>6.4</v>
      </c>
      <c r="S90" s="5">
        <v>3.7</v>
      </c>
      <c r="T90" s="107"/>
      <c r="U90" s="110">
        <f>(((Table5[[#This Row],[Watts Active]]*Power_On_Hours_Year/1000)*Active_Duty_Cycle)+((Table5[[#This Row],[Watts Idle]]*Power_On_Hours_Year/1000)*(100%-Active_Duty_Cycle)))*CostPerKWH</f>
        <v>4.6458528000000001</v>
      </c>
      <c r="V90" s="141">
        <f>Table5[Energy$year]/Table5[[#This Row],[SizTB]]</f>
        <v>4.6458528000000001</v>
      </c>
      <c r="W90" s="140">
        <v>39.99</v>
      </c>
      <c r="X90" s="6">
        <f>IF(Table5[[#This Row],[Cost]],Table5[[#This Row],[Cost]]/Table5[[#This Row],[SizTB]]*Exchange_Rate,"")</f>
        <v>39.99</v>
      </c>
      <c r="Y90" s="145">
        <f>Table5[[#This Row],[Cost]]+((CompareWarrYrs-Table5[[#This Row],[Warranty]])*(Incremental_Warr_Yr*Table5[[#This Row],[Cost]]))*Exchange_Rate</f>
        <v>53.186700000000002</v>
      </c>
      <c r="Z90" s="6">
        <f>IF(Table5[[#This Row],[$+Warr]],Table5[[#This Row],[$+Warr]]/Table5[[#This Row],[SizTB]],"")</f>
        <v>53.186700000000002</v>
      </c>
      <c r="AA90" s="6">
        <f>IFERROR(Table5[[#This Row],[$PerTB]]/CompareWarrYrs,"")</f>
        <v>10.63734</v>
      </c>
      <c r="AB90" s="6">
        <f>IF(OR(Table5[[#This Row],[$ TB/year]]="",Table5[[#This Row],[Energy$yearPerTB]]=""),"",Table5[[#This Row],[$ TB/year]]+Table5[[#This Row],[Energy$yearPerTB]])</f>
        <v>15.2831928</v>
      </c>
      <c r="AC90" s="155"/>
      <c r="AD90" s="156"/>
      <c r="AE90" s="151"/>
    </row>
    <row r="91" spans="1:31" x14ac:dyDescent="0.25">
      <c r="A91" s="1">
        <v>43126</v>
      </c>
      <c r="B91" t="s">
        <v>41</v>
      </c>
      <c r="C91" s="95" t="s">
        <v>138</v>
      </c>
      <c r="D91" s="106" t="s">
        <v>125</v>
      </c>
      <c r="E91" s="81">
        <v>3.5</v>
      </c>
      <c r="F91" s="69">
        <v>2</v>
      </c>
      <c r="G91" s="42">
        <v>7200</v>
      </c>
      <c r="H91" s="5">
        <v>4.17</v>
      </c>
      <c r="I91" s="5"/>
      <c r="J91" s="61">
        <f>(Table5[[#This Row],[RPM]]/5400-1)</f>
        <v>0.33333333333333326</v>
      </c>
      <c r="K91" s="45">
        <v>181.5</v>
      </c>
      <c r="L91">
        <v>2</v>
      </c>
      <c r="M91" s="36"/>
      <c r="O91" s="36"/>
      <c r="P91" s="35">
        <f t="shared" si="12"/>
        <v>100000000000000</v>
      </c>
      <c r="Q91" s="53"/>
      <c r="R91" s="5">
        <v>6.4</v>
      </c>
      <c r="S91" s="5">
        <v>5.2</v>
      </c>
      <c r="T91" s="107"/>
      <c r="U91" s="110">
        <f>(((Table5[[#This Row],[Watts Active]]*Power_On_Hours_Year/1000)*Active_Duty_Cycle)+((Table5[[#This Row],[Watts Idle]]*Power_On_Hours_Year/1000)*(100%-Active_Duty_Cycle)))*CostPerKWH</f>
        <v>5.960716800000001</v>
      </c>
      <c r="V91" s="141">
        <f>Table5[Energy$year]/Table5[[#This Row],[SizTB]]</f>
        <v>2.9803584000000005</v>
      </c>
      <c r="W91" s="140">
        <v>54.99</v>
      </c>
      <c r="X91" s="6">
        <f>IF(Table5[[#This Row],[Cost]],Table5[[#This Row],[Cost]]/Table5[[#This Row],[SizTB]]*Exchange_Rate,"")</f>
        <v>27.495000000000001</v>
      </c>
      <c r="Y91" s="145">
        <f>Table5[[#This Row],[Cost]]+((CompareWarrYrs-Table5[[#This Row],[Warranty]])*(Incremental_Warr_Yr*Table5[[#This Row],[Cost]]))*Exchange_Rate</f>
        <v>73.136700000000005</v>
      </c>
      <c r="Z91" s="6">
        <f>IF(Table5[[#This Row],[$+Warr]],Table5[[#This Row],[$+Warr]]/Table5[[#This Row],[SizTB]],"")</f>
        <v>36.568350000000002</v>
      </c>
      <c r="AA91" s="6">
        <f>IFERROR(Table5[[#This Row],[$PerTB]]/CompareWarrYrs,"")</f>
        <v>7.3136700000000001</v>
      </c>
      <c r="AB91" s="6">
        <f>IF(OR(Table5[[#This Row],[$ TB/year]]="",Table5[[#This Row],[Energy$yearPerTB]]=""),"",Table5[[#This Row],[$ TB/year]]+Table5[[#This Row],[Energy$yearPerTB]])</f>
        <v>10.2940284</v>
      </c>
      <c r="AC91" s="155"/>
      <c r="AD91" s="156"/>
      <c r="AE91" s="151"/>
    </row>
    <row r="92" spans="1:31" x14ac:dyDescent="0.25">
      <c r="A92" s="1">
        <v>43080</v>
      </c>
      <c r="B92" t="s">
        <v>41</v>
      </c>
      <c r="C92" s="95" t="s">
        <v>138</v>
      </c>
      <c r="D92" s="106" t="s">
        <v>125</v>
      </c>
      <c r="E92" s="81">
        <v>3.5</v>
      </c>
      <c r="F92" s="69">
        <v>3</v>
      </c>
      <c r="G92" s="42">
        <v>7200</v>
      </c>
      <c r="H92" s="5">
        <v>4.17</v>
      </c>
      <c r="I92" s="5"/>
      <c r="J92" s="61">
        <f>(Table5[[#This Row],[RPM]]/5400-1)</f>
        <v>0.33333333333333326</v>
      </c>
      <c r="K92" s="45">
        <v>181.5</v>
      </c>
      <c r="L92">
        <v>2</v>
      </c>
      <c r="M92" s="36"/>
      <c r="O92" s="36"/>
      <c r="P92" s="35">
        <f t="shared" si="12"/>
        <v>100000000000000</v>
      </c>
      <c r="Q92" s="53"/>
      <c r="R92" s="5">
        <v>6.4</v>
      </c>
      <c r="S92" s="5">
        <v>5.2</v>
      </c>
      <c r="T92" s="107"/>
      <c r="U92" s="110">
        <f>(((Table5[[#This Row],[Watts Active]]*Power_On_Hours_Year/1000)*Active_Duty_Cycle)+((Table5[[#This Row],[Watts Idle]]*Power_On_Hours_Year/1000)*(100%-Active_Duty_Cycle)))*CostPerKWH</f>
        <v>5.960716800000001</v>
      </c>
      <c r="V92" s="141">
        <f>Table5[Energy$year]/Table5[[#This Row],[SizTB]]</f>
        <v>1.9869056000000003</v>
      </c>
      <c r="W92" s="140">
        <v>96.67</v>
      </c>
      <c r="X92" s="6">
        <f>IF(Table5[[#This Row],[Cost]],Table5[[#This Row],[Cost]]/Table5[[#This Row],[SizTB]]*Exchange_Rate,"")</f>
        <v>32.223333333333336</v>
      </c>
      <c r="Y92" s="145">
        <f>Table5[[#This Row],[Cost]]+((CompareWarrYrs-Table5[[#This Row],[Warranty]])*(Incremental_Warr_Yr*Table5[[#This Row],[Cost]]))*Exchange_Rate</f>
        <v>128.5711</v>
      </c>
      <c r="Z92" s="6">
        <f>IF(Table5[[#This Row],[$+Warr]],Table5[[#This Row],[$+Warr]]/Table5[[#This Row],[SizTB]],"")</f>
        <v>42.857033333333334</v>
      </c>
      <c r="AA92" s="6">
        <f>IFERROR(Table5[[#This Row],[$PerTB]]/CompareWarrYrs,"")</f>
        <v>8.5714066666666664</v>
      </c>
      <c r="AB92" s="6">
        <f>IF(OR(Table5[[#This Row],[$ TB/year]]="",Table5[[#This Row],[Energy$yearPerTB]]=""),"",Table5[[#This Row],[$ TB/year]]+Table5[[#This Row],[Energy$yearPerTB]])</f>
        <v>10.558312266666666</v>
      </c>
      <c r="AC92" s="155"/>
      <c r="AD92" s="156"/>
      <c r="AE92" s="151"/>
    </row>
    <row r="93" spans="1:31" x14ac:dyDescent="0.25">
      <c r="A93" s="103">
        <v>43044</v>
      </c>
      <c r="B93" t="s">
        <v>41</v>
      </c>
      <c r="C93" s="104" t="s">
        <v>112</v>
      </c>
      <c r="D93" s="82" t="s">
        <v>49</v>
      </c>
      <c r="E93" s="99">
        <v>3.5</v>
      </c>
      <c r="F93" s="99">
        <v>6</v>
      </c>
      <c r="G93" s="42">
        <v>7200</v>
      </c>
      <c r="H93" s="5"/>
      <c r="I93" s="5">
        <v>8.5</v>
      </c>
      <c r="J93" s="61">
        <f>(Table5[[#This Row],[RPM]]/5400-1)</f>
        <v>0.33333333333333326</v>
      </c>
      <c r="K93" s="45">
        <v>230</v>
      </c>
      <c r="L93" s="7">
        <v>5</v>
      </c>
      <c r="M93" s="36">
        <v>600000</v>
      </c>
      <c r="N93" s="7">
        <v>550</v>
      </c>
      <c r="O93" s="105">
        <v>2500000</v>
      </c>
      <c r="P93" s="35">
        <f t="shared" ref="P93:P94" si="13">10^16</f>
        <v>1E+16</v>
      </c>
      <c r="Q93" s="53"/>
      <c r="R93" s="5">
        <v>8.3000000000000007</v>
      </c>
      <c r="S93" s="5">
        <v>5.6</v>
      </c>
      <c r="T93" s="107"/>
      <c r="U93" s="110">
        <f>(((Table5[[#This Row],[Watts Active]]*Power_On_Hours_Year/1000)*Active_Duty_Cycle)+((Table5[[#This Row],[Watts Idle]]*Power_On_Hours_Year/1000)*(100%-Active_Duty_Cycle)))*CostPerKWH</f>
        <v>6.7277208000000002</v>
      </c>
      <c r="V93" s="141">
        <f>Table5[Energy$year]/Table5[[#This Row],[SizTB]]</f>
        <v>1.1212868</v>
      </c>
      <c r="W93" s="140">
        <v>204</v>
      </c>
      <c r="X93" s="6">
        <f>IF(Table5[[#This Row],[Cost]],Table5[[#This Row],[Cost]]/Table5[[#This Row],[SizTB]]*Exchange_Rate,"")</f>
        <v>34</v>
      </c>
      <c r="Y93" s="145">
        <f>Table5[[#This Row],[Cost]]+((CompareWarrYrs-Table5[[#This Row],[Warranty]])*(Incremental_Warr_Yr*Table5[[#This Row],[Cost]]))*Exchange_Rate</f>
        <v>204</v>
      </c>
      <c r="Z93" s="6">
        <f>IF(Table5[[#This Row],[$+Warr]],Table5[[#This Row],[$+Warr]]/Table5[[#This Row],[SizTB]],"")</f>
        <v>34</v>
      </c>
      <c r="AA93" s="6">
        <f>IFERROR(Table5[[#This Row],[$PerTB]]/CompareWarrYrs,"")</f>
        <v>6.8</v>
      </c>
      <c r="AB93" s="6">
        <f>IF(OR(Table5[[#This Row],[$ TB/year]]="",Table5[[#This Row],[Energy$yearPerTB]]=""),"",Table5[[#This Row],[$ TB/year]]+Table5[[#This Row],[Energy$yearPerTB]])</f>
        <v>7.9212867999999999</v>
      </c>
      <c r="AC93" s="155">
        <v>34</v>
      </c>
      <c r="AD93" s="156"/>
      <c r="AE93" s="151" t="s">
        <v>139</v>
      </c>
    </row>
    <row r="94" spans="1:31" x14ac:dyDescent="0.25">
      <c r="A94" s="103">
        <v>43080</v>
      </c>
      <c r="B94" t="s">
        <v>41</v>
      </c>
      <c r="C94" s="104" t="s">
        <v>112</v>
      </c>
      <c r="D94" s="82" t="s">
        <v>49</v>
      </c>
      <c r="E94" s="99">
        <v>3.5</v>
      </c>
      <c r="F94" s="99">
        <v>8</v>
      </c>
      <c r="G94" s="42">
        <v>7200</v>
      </c>
      <c r="H94" s="5"/>
      <c r="I94" s="5">
        <v>8.5</v>
      </c>
      <c r="J94" s="61">
        <f>(Table5[[#This Row],[RPM]]/5400-1)</f>
        <v>0.33333333333333326</v>
      </c>
      <c r="K94" s="45">
        <v>230</v>
      </c>
      <c r="L94" s="7">
        <v>5</v>
      </c>
      <c r="M94" s="36">
        <v>600000</v>
      </c>
      <c r="N94" s="7">
        <v>550</v>
      </c>
      <c r="O94" s="105">
        <v>2500000</v>
      </c>
      <c r="P94" s="35">
        <f t="shared" si="13"/>
        <v>1E+16</v>
      </c>
      <c r="Q94" s="53"/>
      <c r="R94" s="5">
        <v>9.1</v>
      </c>
      <c r="S94" s="5">
        <v>6.4</v>
      </c>
      <c r="T94" s="107"/>
      <c r="U94" s="110">
        <f>(((Table5[[#This Row],[Watts Active]]*Power_On_Hours_Year/1000)*Active_Duty_Cycle)+((Table5[[#This Row],[Watts Idle]]*Power_On_Hours_Year/1000)*(100%-Active_Duty_Cycle)))*CostPerKWH</f>
        <v>7.6042968000000002</v>
      </c>
      <c r="V94" s="141">
        <f>Table5[Energy$year]/Table5[[#This Row],[SizTB]]</f>
        <v>0.95053710000000002</v>
      </c>
      <c r="W94" s="140">
        <v>259.99</v>
      </c>
      <c r="X94" s="6">
        <f>IF(Table5[[#This Row],[Cost]],Table5[[#This Row],[Cost]]/Table5[[#This Row],[SizTB]]*Exchange_Rate,"")</f>
        <v>32.498750000000001</v>
      </c>
      <c r="Y94" s="145">
        <f>Table5[[#This Row],[Cost]]+((CompareWarrYrs-Table5[[#This Row],[Warranty]])*(Incremental_Warr_Yr*Table5[[#This Row],[Cost]]))*Exchange_Rate</f>
        <v>259.99</v>
      </c>
      <c r="Z94" s="6">
        <f>IF(Table5[[#This Row],[$+Warr]],Table5[[#This Row],[$+Warr]]/Table5[[#This Row],[SizTB]],"")</f>
        <v>32.498750000000001</v>
      </c>
      <c r="AA94" s="6">
        <f>IFERROR(Table5[[#This Row],[$PerTB]]/CompareWarrYrs,"")</f>
        <v>6.4997500000000006</v>
      </c>
      <c r="AB94" s="6">
        <f>IF(OR(Table5[[#This Row],[$ TB/year]]="",Table5[[#This Row],[Energy$yearPerTB]]=""),"",Table5[[#This Row],[$ TB/year]]+Table5[[#This Row],[Energy$yearPerTB]])</f>
        <v>7.4502871000000006</v>
      </c>
      <c r="AC94" s="155">
        <v>34</v>
      </c>
      <c r="AD94" s="156"/>
      <c r="AE94" s="151" t="s">
        <v>139</v>
      </c>
    </row>
    <row r="95" spans="1:31" x14ac:dyDescent="0.25">
      <c r="A95" s="103">
        <v>43044</v>
      </c>
      <c r="B95" t="s">
        <v>41</v>
      </c>
      <c r="C95" s="104" t="s">
        <v>112</v>
      </c>
      <c r="D95" s="82" t="s">
        <v>49</v>
      </c>
      <c r="E95" s="99">
        <v>3.5</v>
      </c>
      <c r="F95" s="99">
        <v>10</v>
      </c>
      <c r="G95" s="42">
        <v>7200</v>
      </c>
      <c r="H95" s="5"/>
      <c r="I95" s="5">
        <v>8.5</v>
      </c>
      <c r="J95" s="61">
        <f>(Table5[[#This Row],[RPM]]/5400-1)</f>
        <v>0.33333333333333326</v>
      </c>
      <c r="K95" s="45">
        <v>237</v>
      </c>
      <c r="L95" s="7">
        <v>5</v>
      </c>
      <c r="M95" s="36">
        <v>600000</v>
      </c>
      <c r="N95" s="7">
        <v>550</v>
      </c>
      <c r="O95" s="105">
        <v>2500000</v>
      </c>
      <c r="P95" s="35">
        <f>10^16</f>
        <v>1E+16</v>
      </c>
      <c r="Q95" s="53"/>
      <c r="R95" s="5">
        <v>10</v>
      </c>
      <c r="S95" s="5">
        <v>7.3</v>
      </c>
      <c r="T95" s="107"/>
      <c r="U95" s="110">
        <f>(((Table5[[#This Row],[Watts Active]]*Power_On_Hours_Year/1000)*Active_Duty_Cycle)+((Table5[[#This Row],[Watts Idle]]*Power_On_Hours_Year/1000)*(100%-Active_Duty_Cycle)))*CostPerKWH</f>
        <v>8.5904448000000002</v>
      </c>
      <c r="V95" s="141">
        <f>Table5[Energy$year]/Table5[[#This Row],[SizTB]]</f>
        <v>0.85904448</v>
      </c>
      <c r="W95" s="140">
        <v>540.67999999999995</v>
      </c>
      <c r="X95" s="6">
        <f>IF(Table5[[#This Row],[Cost]],Table5[[#This Row],[Cost]]/Table5[[#This Row],[SizTB]]*Exchange_Rate,"")</f>
        <v>54.067999999999998</v>
      </c>
      <c r="Y95" s="145">
        <f>Table5[[#This Row],[Cost]]+((CompareWarrYrs-Table5[[#This Row],[Warranty]])*(Incremental_Warr_Yr*Table5[[#This Row],[Cost]]))*Exchange_Rate</f>
        <v>540.67999999999995</v>
      </c>
      <c r="Z95" s="6">
        <f>IF(Table5[[#This Row],[$+Warr]],Table5[[#This Row],[$+Warr]]/Table5[[#This Row],[SizTB]],"")</f>
        <v>54.067999999999998</v>
      </c>
      <c r="AA95" s="6">
        <f>IFERROR(Table5[[#This Row],[$PerTB]]/CompareWarrYrs,"")</f>
        <v>10.813599999999999</v>
      </c>
      <c r="AB95" s="6">
        <f>IF(OR(Table5[[#This Row],[$ TB/year]]="",Table5[[#This Row],[Energy$yearPerTB]]=""),"",Table5[[#This Row],[$ TB/year]]+Table5[[#This Row],[Energy$yearPerTB]])</f>
        <v>11.672644479999999</v>
      </c>
      <c r="AC95" s="155">
        <v>34</v>
      </c>
      <c r="AD95" s="156"/>
      <c r="AE95" s="151" t="s">
        <v>139</v>
      </c>
    </row>
    <row r="96" spans="1:31" x14ac:dyDescent="0.25">
      <c r="A96" s="103">
        <v>43340</v>
      </c>
      <c r="B96" t="s">
        <v>41</v>
      </c>
      <c r="C96" s="104" t="s">
        <v>112</v>
      </c>
      <c r="D96" s="82" t="s">
        <v>49</v>
      </c>
      <c r="E96" s="99">
        <v>3.5</v>
      </c>
      <c r="F96" s="99">
        <v>12</v>
      </c>
      <c r="G96" s="42">
        <v>7200</v>
      </c>
      <c r="H96" s="5"/>
      <c r="I96" s="5"/>
      <c r="J96" s="61">
        <f>(Table5[[#This Row],[RPM]]/5400-1)</f>
        <v>0.33333333333333326</v>
      </c>
      <c r="K96" s="45">
        <v>242</v>
      </c>
      <c r="L96" s="7">
        <v>5</v>
      </c>
      <c r="M96" s="36">
        <v>600000</v>
      </c>
      <c r="N96" s="7">
        <v>550</v>
      </c>
      <c r="O96" s="105">
        <v>2500000</v>
      </c>
      <c r="P96" s="35">
        <f t="shared" ref="P96:P97" si="14">10^16</f>
        <v>1E+16</v>
      </c>
      <c r="Q96" s="53"/>
      <c r="R96" s="5">
        <v>7.5</v>
      </c>
      <c r="S96" s="5">
        <v>3.93</v>
      </c>
      <c r="T96" s="107"/>
      <c r="U96" s="110">
        <f>(((Table5[[#This Row],[Watts Active]]*Power_On_Hours_Year/1000)*Active_Duty_Cycle)+((Table5[[#This Row],[Watts Idle]]*Power_On_Hours_Year/1000)*(100%-Active_Duty_Cycle)))*CostPerKWH</f>
        <v>5.0885236799999998</v>
      </c>
      <c r="V96" s="141">
        <f>Table5[Energy$year]/Table5[[#This Row],[SizTB]]</f>
        <v>0.42404364</v>
      </c>
      <c r="W96" s="140">
        <v>449.88</v>
      </c>
      <c r="X96" s="6">
        <f>IF(Table5[[#This Row],[Cost]],Table5[[#This Row],[Cost]]/Table5[[#This Row],[SizTB]]*Exchange_Rate,"")</f>
        <v>37.49</v>
      </c>
      <c r="Y96" s="145">
        <f>Table5[[#This Row],[Cost]]+((CompareWarrYrs-Table5[[#This Row],[Warranty]])*(Incremental_Warr_Yr*Table5[[#This Row],[Cost]]))*Exchange_Rate</f>
        <v>449.88</v>
      </c>
      <c r="Z96" s="6">
        <f>IF(Table5[[#This Row],[$+Warr]],Table5[[#This Row],[$+Warr]]/Table5[[#This Row],[SizTB]],"")</f>
        <v>37.49</v>
      </c>
      <c r="AA96" s="6">
        <f>IFERROR(Table5[[#This Row],[$PerTB]]/CompareWarrYrs,"")</f>
        <v>7.4980000000000002</v>
      </c>
      <c r="AB96" s="6">
        <f>IF(OR(Table5[[#This Row],[$ TB/year]]="",Table5[[#This Row],[Energy$yearPerTB]]=""),"",Table5[[#This Row],[$ TB/year]]+Table5[[#This Row],[Energy$yearPerTB]])</f>
        <v>7.9220436400000001</v>
      </c>
      <c r="AC96" s="155">
        <v>20</v>
      </c>
      <c r="AD96" s="156"/>
      <c r="AE96" s="152" t="s">
        <v>140</v>
      </c>
    </row>
    <row r="97" spans="1:31" x14ac:dyDescent="0.25">
      <c r="A97" s="103">
        <v>43340</v>
      </c>
      <c r="B97" t="s">
        <v>41</v>
      </c>
      <c r="C97" s="104" t="s">
        <v>112</v>
      </c>
      <c r="D97" s="82" t="s">
        <v>49</v>
      </c>
      <c r="E97" s="99">
        <v>3.5</v>
      </c>
      <c r="F97" s="99">
        <v>14</v>
      </c>
      <c r="G97" s="42">
        <v>7200</v>
      </c>
      <c r="H97" s="5"/>
      <c r="I97" s="5"/>
      <c r="J97" s="61">
        <f>(Table5[[#This Row],[RPM]]/5400-1)</f>
        <v>0.33333333333333326</v>
      </c>
      <c r="K97" s="45">
        <v>248</v>
      </c>
      <c r="L97" s="7">
        <v>5</v>
      </c>
      <c r="M97" s="36">
        <v>600000</v>
      </c>
      <c r="N97" s="7">
        <v>550</v>
      </c>
      <c r="O97" s="105">
        <v>2500000</v>
      </c>
      <c r="P97" s="35">
        <f t="shared" si="14"/>
        <v>1E+16</v>
      </c>
      <c r="Q97" s="53"/>
      <c r="R97" s="5">
        <v>7.8</v>
      </c>
      <c r="S97" s="5">
        <v>4.22</v>
      </c>
      <c r="T97" s="107"/>
      <c r="U97" s="110">
        <f>(((Table5[[#This Row],[Watts Active]]*Power_On_Hours_Year/1000)*Active_Duty_Cycle)+((Table5[[#This Row],[Watts Idle]]*Power_On_Hours_Year/1000)*(100%-Active_Duty_Cycle)))*CostPerKWH</f>
        <v>5.4084739200000005</v>
      </c>
      <c r="V97" s="141">
        <f>Table5[Energy$year]/Table5[[#This Row],[SizTB]]</f>
        <v>0.38631956571428577</v>
      </c>
      <c r="W97" s="140">
        <v>549.98</v>
      </c>
      <c r="X97" s="6">
        <f>IF(Table5[[#This Row],[Cost]],Table5[[#This Row],[Cost]]/Table5[[#This Row],[SizTB]]*Exchange_Rate,"")</f>
        <v>39.284285714285716</v>
      </c>
      <c r="Y97" s="145">
        <f>Table5[[#This Row],[Cost]]+((CompareWarrYrs-Table5[[#This Row],[Warranty]])*(Incremental_Warr_Yr*Table5[[#This Row],[Cost]]))*Exchange_Rate</f>
        <v>549.98</v>
      </c>
      <c r="Z97" s="6">
        <f>IF(Table5[[#This Row],[$+Warr]],Table5[[#This Row],[$+Warr]]/Table5[[#This Row],[SizTB]],"")</f>
        <v>39.284285714285716</v>
      </c>
      <c r="AA97" s="6">
        <f>IFERROR(Table5[[#This Row],[$PerTB]]/CompareWarrYrs,"")</f>
        <v>7.8568571428571428</v>
      </c>
      <c r="AB97" s="6">
        <f>IF(OR(Table5[[#This Row],[$ TB/year]]="",Table5[[#This Row],[Energy$yearPerTB]]=""),"",Table5[[#This Row],[$ TB/year]]+Table5[[#This Row],[Energy$yearPerTB]])</f>
        <v>8.2431767085714291</v>
      </c>
      <c r="AC97" s="155">
        <v>20</v>
      </c>
      <c r="AD97" s="156"/>
      <c r="AE97" s="152" t="s">
        <v>140</v>
      </c>
    </row>
    <row r="98" spans="1:31" x14ac:dyDescent="0.25">
      <c r="A98" s="103">
        <v>43284</v>
      </c>
      <c r="B98" t="s">
        <v>41</v>
      </c>
      <c r="C98" s="104" t="s">
        <v>111</v>
      </c>
      <c r="D98" s="82" t="s">
        <v>49</v>
      </c>
      <c r="E98" s="99">
        <v>2.5</v>
      </c>
      <c r="F98" s="99">
        <v>1.2</v>
      </c>
      <c r="G98" s="42">
        <v>10500</v>
      </c>
      <c r="H98" s="5">
        <v>2.86</v>
      </c>
      <c r="I98" s="5">
        <v>4</v>
      </c>
      <c r="J98" s="61">
        <f>(Table5[[#This Row],[RPM]]/5400-1)</f>
        <v>0.94444444444444442</v>
      </c>
      <c r="K98" s="45">
        <v>226</v>
      </c>
      <c r="L98" s="7">
        <v>5</v>
      </c>
      <c r="M98" s="105">
        <v>600000</v>
      </c>
      <c r="N98" s="7"/>
      <c r="O98" s="105">
        <v>2000000</v>
      </c>
      <c r="P98" s="35">
        <f>10^17</f>
        <v>1E+17</v>
      </c>
      <c r="Q98" s="53"/>
      <c r="R98" s="5">
        <v>7</v>
      </c>
      <c r="S98" s="5">
        <v>3.5</v>
      </c>
      <c r="T98" s="107"/>
      <c r="U98" s="110">
        <f>(((Table5[[#This Row],[Watts Active]]*Power_On_Hours_Year/1000)*Active_Duty_Cycle)+((Table5[[#This Row],[Watts Idle]]*Power_On_Hours_Year/1000)*(100%-Active_Duty_Cycle)))*CostPerKWH</f>
        <v>4.6020240000000001</v>
      </c>
      <c r="V98" s="141">
        <f>Table5[Energy$year]/Table5[[#This Row],[SizTB]]</f>
        <v>3.8350200000000001</v>
      </c>
      <c r="W98" s="140">
        <v>289.99</v>
      </c>
      <c r="X98" s="6">
        <f>IF(Table5[[#This Row],[Cost]],Table5[[#This Row],[Cost]]/Table5[[#This Row],[SizTB]]*Exchange_Rate,"")</f>
        <v>241.65833333333336</v>
      </c>
      <c r="Y98" s="145">
        <f>Table5[[#This Row],[Cost]]+((CompareWarrYrs-Table5[[#This Row],[Warranty]])*(Incremental_Warr_Yr*Table5[[#This Row],[Cost]]))*Exchange_Rate</f>
        <v>289.99</v>
      </c>
      <c r="Z98" s="6">
        <f>IF(Table5[[#This Row],[$+Warr]],Table5[[#This Row],[$+Warr]]/Table5[[#This Row],[SizTB]],"")</f>
        <v>241.65833333333336</v>
      </c>
      <c r="AA98" s="6">
        <f>IFERROR(Table5[[#This Row],[$PerTB]]/CompareWarrYrs,"")</f>
        <v>48.331666666666671</v>
      </c>
      <c r="AB98" s="6">
        <f>IF(OR(Table5[[#This Row],[$ TB/year]]="",Table5[[#This Row],[Energy$yearPerTB]]=""),"",Table5[[#This Row],[$ TB/year]]+Table5[[#This Row],[Energy$yearPerTB]])</f>
        <v>52.166686666666671</v>
      </c>
      <c r="AC98" s="155"/>
      <c r="AD98" s="156"/>
      <c r="AE98" s="151" t="s">
        <v>139</v>
      </c>
    </row>
    <row r="99" spans="1:31" x14ac:dyDescent="0.25">
      <c r="A99" s="103">
        <v>43284</v>
      </c>
      <c r="B99" t="s">
        <v>41</v>
      </c>
      <c r="C99" s="104" t="s">
        <v>111</v>
      </c>
      <c r="D99" s="82" t="s">
        <v>49</v>
      </c>
      <c r="E99" s="99">
        <v>2.5</v>
      </c>
      <c r="F99" s="99">
        <v>1.8</v>
      </c>
      <c r="G99" s="42">
        <v>10500</v>
      </c>
      <c r="H99" s="5">
        <v>2.86</v>
      </c>
      <c r="I99" s="5">
        <v>4</v>
      </c>
      <c r="J99" s="61">
        <f>(Table5[[#This Row],[RPM]]/5400-1)</f>
        <v>0.94444444444444442</v>
      </c>
      <c r="K99" s="45">
        <v>226</v>
      </c>
      <c r="L99" s="7">
        <v>5</v>
      </c>
      <c r="M99" s="105">
        <v>600000</v>
      </c>
      <c r="N99" s="7"/>
      <c r="O99" s="105">
        <v>2000000</v>
      </c>
      <c r="P99" s="35">
        <f>10^17</f>
        <v>1E+17</v>
      </c>
      <c r="Q99" s="53"/>
      <c r="R99" s="5">
        <v>8.1</v>
      </c>
      <c r="S99" s="5">
        <v>4.5999999999999996</v>
      </c>
      <c r="T99" s="107"/>
      <c r="U99" s="110">
        <f>(((Table5[[#This Row],[Watts Active]]*Power_On_Hours_Year/1000)*Active_Duty_Cycle)+((Table5[[#This Row],[Watts Idle]]*Power_On_Hours_Year/1000)*(100%-Active_Duty_Cycle)))*CostPerKWH</f>
        <v>5.8073160000000001</v>
      </c>
      <c r="V99" s="141">
        <f>Table5[Energy$year]/Table5[[#This Row],[SizTB]]</f>
        <v>3.2262866666666667</v>
      </c>
      <c r="W99" s="140">
        <v>399.99</v>
      </c>
      <c r="X99" s="6">
        <f>IF(Table5[[#This Row],[Cost]],Table5[[#This Row],[Cost]]/Table5[[#This Row],[SizTB]]*Exchange_Rate,"")</f>
        <v>222.21666666666667</v>
      </c>
      <c r="Y99" s="145">
        <f>Table5[[#This Row],[Cost]]+((CompareWarrYrs-Table5[[#This Row],[Warranty]])*(Incremental_Warr_Yr*Table5[[#This Row],[Cost]]))*Exchange_Rate</f>
        <v>399.99</v>
      </c>
      <c r="Z99" s="6">
        <f>IF(Table5[[#This Row],[$+Warr]],Table5[[#This Row],[$+Warr]]/Table5[[#This Row],[SizTB]],"")</f>
        <v>222.21666666666667</v>
      </c>
      <c r="AA99" s="6">
        <f>IFERROR(Table5[[#This Row],[$PerTB]]/CompareWarrYrs,"")</f>
        <v>44.443333333333335</v>
      </c>
      <c r="AB99" s="6">
        <f>IF(OR(Table5[[#This Row],[$ TB/year]]="",Table5[[#This Row],[Energy$yearPerTB]]=""),"",Table5[[#This Row],[$ TB/year]]+Table5[[#This Row],[Energy$yearPerTB]])</f>
        <v>47.669620000000002</v>
      </c>
      <c r="AC99" s="155"/>
      <c r="AD99" s="156"/>
      <c r="AE99" s="151" t="s">
        <v>139</v>
      </c>
    </row>
    <row r="100" spans="1:31" x14ac:dyDescent="0.25">
      <c r="A100" s="103">
        <v>43088</v>
      </c>
      <c r="B100" t="s">
        <v>41</v>
      </c>
      <c r="C100" s="104" t="s">
        <v>111</v>
      </c>
      <c r="D100" s="82" t="s">
        <v>49</v>
      </c>
      <c r="E100" s="99">
        <v>2.5</v>
      </c>
      <c r="F100" s="99">
        <v>2.4</v>
      </c>
      <c r="G100" s="42">
        <v>10500</v>
      </c>
      <c r="H100" s="5">
        <v>2.86</v>
      </c>
      <c r="I100" s="5">
        <v>4</v>
      </c>
      <c r="J100" s="61">
        <f>(Table5[[#This Row],[RPM]]/5400-1)</f>
        <v>0.94444444444444442</v>
      </c>
      <c r="K100" s="45">
        <v>260</v>
      </c>
      <c r="L100" s="7">
        <v>5</v>
      </c>
      <c r="M100" s="105">
        <v>600000</v>
      </c>
      <c r="N100" s="7"/>
      <c r="O100" s="105">
        <v>2000000</v>
      </c>
      <c r="P100" s="35">
        <f>10^17</f>
        <v>1E+17</v>
      </c>
      <c r="Q100" s="53"/>
      <c r="R100" s="5">
        <v>8.6999999999999993</v>
      </c>
      <c r="S100" s="5">
        <v>5.0999999999999996</v>
      </c>
      <c r="T100" s="107"/>
      <c r="U100" s="110">
        <f>(((Table5[[#This Row],[Watts Active]]*Power_On_Hours_Year/1000)*Active_Duty_Cycle)+((Table5[[#This Row],[Watts Idle]]*Power_On_Hours_Year/1000)*(100%-Active_Duty_Cycle)))*CostPerKWH</f>
        <v>6.3770903999999993</v>
      </c>
      <c r="V100" s="141">
        <f>Table5[Energy$year]/Table5[[#This Row],[SizTB]]</f>
        <v>2.6571209999999996</v>
      </c>
      <c r="W100" s="115"/>
      <c r="X100" s="6" t="str">
        <f>IF(Table5[[#This Row],[Cost]],Table5[[#This Row],[Cost]]/Table5[[#This Row],[SizTB]]*Exchange_Rate,"")</f>
        <v/>
      </c>
      <c r="Y100" s="145">
        <f>Table5[[#This Row],[Cost]]+((CompareWarrYrs-Table5[[#This Row],[Warranty]])*(Incremental_Warr_Yr*Table5[[#This Row],[Cost]]))</f>
        <v>0</v>
      </c>
      <c r="Z100" s="6" t="str">
        <f>IF(Table5[[#This Row],[$+Warr]],Table5[[#This Row],[$+Warr]]/Table5[[#This Row],[SizTB]],"")</f>
        <v/>
      </c>
      <c r="AA100" s="6" t="str">
        <f>IFERROR(Table5[[#This Row],[$PerTB]]/CompareWarrYrs,"")</f>
        <v/>
      </c>
      <c r="AB100" s="6" t="str">
        <f>IF(OR(Table5[[#This Row],[$ TB/year]]="",Table5[[#This Row],[Energy$yearPerTB]]=""),"",Table5[[#This Row],[$ TB/year]]+Table5[[#This Row],[Energy$yearPerTB]])</f>
        <v/>
      </c>
      <c r="AC100" s="155" t="s">
        <v>76</v>
      </c>
      <c r="AD100" s="156"/>
      <c r="AE100" s="151" t="s">
        <v>139</v>
      </c>
    </row>
    <row r="101" spans="1:31" x14ac:dyDescent="0.25">
      <c r="A101" s="103">
        <v>43284</v>
      </c>
      <c r="B101" t="s">
        <v>41</v>
      </c>
      <c r="C101" s="104" t="s">
        <v>111</v>
      </c>
      <c r="D101" s="82" t="s">
        <v>49</v>
      </c>
      <c r="E101" s="99">
        <v>2.5</v>
      </c>
      <c r="F101" s="99">
        <v>0.6</v>
      </c>
      <c r="G101" s="42">
        <v>15000</v>
      </c>
      <c r="H101" s="5">
        <v>2</v>
      </c>
      <c r="I101" s="5">
        <v>2.9</v>
      </c>
      <c r="J101" s="61">
        <f>(Table5[[#This Row],[RPM]]/5400-1)</f>
        <v>1.7777777777777777</v>
      </c>
      <c r="K101" s="45">
        <v>259</v>
      </c>
      <c r="L101" s="7">
        <v>5</v>
      </c>
      <c r="M101" s="105">
        <v>600000</v>
      </c>
      <c r="N101" s="7"/>
      <c r="O101" s="105">
        <v>2000000</v>
      </c>
      <c r="P101" s="35">
        <f>10^17</f>
        <v>1E+17</v>
      </c>
      <c r="Q101" s="53"/>
      <c r="R101" s="5">
        <v>9</v>
      </c>
      <c r="S101" s="5">
        <v>5.6</v>
      </c>
      <c r="T101" s="107"/>
      <c r="U101" s="110">
        <f>(((Table5[[#This Row],[Watts Active]]*Power_On_Hours_Year/1000)*Active_Duty_Cycle)+((Table5[[#This Row],[Watts Idle]]*Power_On_Hours_Year/1000)*(100%-Active_Duty_Cycle)))*CostPerKWH</f>
        <v>6.8811216000000002</v>
      </c>
      <c r="V101" s="141">
        <f>Table5[Energy$year]/Table5[[#This Row],[SizTB]]</f>
        <v>11.468536</v>
      </c>
      <c r="W101" s="140">
        <v>299.99</v>
      </c>
      <c r="X101" s="6">
        <f>IF(Table5[[#This Row],[Cost]],Table5[[#This Row],[Cost]]/Table5[[#This Row],[SizTB]]*Exchange_Rate,"")</f>
        <v>499.98333333333335</v>
      </c>
      <c r="Y101" s="145">
        <f>Table5[[#This Row],[Cost]]+((CompareWarrYrs-Table5[[#This Row],[Warranty]])*(Incremental_Warr_Yr*Table5[[#This Row],[Cost]]))*Exchange_Rate</f>
        <v>299.99</v>
      </c>
      <c r="Z101" s="6">
        <f>IF(Table5[[#This Row],[$+Warr]],Table5[[#This Row],[$+Warr]]/Table5[[#This Row],[SizTB]],"")</f>
        <v>499.98333333333335</v>
      </c>
      <c r="AA101" s="6">
        <f>IFERROR(Table5[[#This Row],[$PerTB]]/CompareWarrYrs,"")</f>
        <v>99.99666666666667</v>
      </c>
      <c r="AB101" s="6">
        <f>IF(OR(Table5[[#This Row],[$ TB/year]]="",Table5[[#This Row],[Energy$yearPerTB]]=""),"",Table5[[#This Row],[$ TB/year]]+Table5[[#This Row],[Energy$yearPerTB]])</f>
        <v>111.46520266666667</v>
      </c>
      <c r="AC101" s="155"/>
      <c r="AD101" s="156"/>
      <c r="AE101" s="151" t="s">
        <v>139</v>
      </c>
    </row>
    <row r="102" spans="1:31" x14ac:dyDescent="0.25">
      <c r="A102" s="103">
        <v>43114</v>
      </c>
      <c r="B102" t="s">
        <v>41</v>
      </c>
      <c r="C102" s="104" t="s">
        <v>111</v>
      </c>
      <c r="D102" s="82" t="s">
        <v>49</v>
      </c>
      <c r="E102" s="99">
        <v>2.5</v>
      </c>
      <c r="F102" s="99">
        <v>0.9</v>
      </c>
      <c r="G102" s="42">
        <v>15000</v>
      </c>
      <c r="H102" s="5">
        <v>2</v>
      </c>
      <c r="I102" s="5">
        <v>2.9</v>
      </c>
      <c r="J102" s="61">
        <f>(Table5[[#This Row],[RPM]]/5400-1)</f>
        <v>1.7777777777777777</v>
      </c>
      <c r="K102" s="45">
        <v>259</v>
      </c>
      <c r="L102" s="7">
        <v>5</v>
      </c>
      <c r="M102" s="105">
        <v>600000</v>
      </c>
      <c r="N102" s="7"/>
      <c r="O102" s="105">
        <v>2000000</v>
      </c>
      <c r="P102" s="35">
        <f>10^17</f>
        <v>1E+17</v>
      </c>
      <c r="Q102" s="53"/>
      <c r="R102" s="5">
        <v>9</v>
      </c>
      <c r="S102" s="5">
        <v>5.6</v>
      </c>
      <c r="T102" s="107"/>
      <c r="U102" s="110">
        <f>(((Table5[[#This Row],[Watts Active]]*Power_On_Hours_Year/1000)*Active_Duty_Cycle)+((Table5[[#This Row],[Watts Idle]]*Power_On_Hours_Year/1000)*(100%-Active_Duty_Cycle)))*CostPerKWH</f>
        <v>6.8811216000000002</v>
      </c>
      <c r="V102" s="141">
        <f>Table5[Energy$year]/Table5[[#This Row],[SizTB]]</f>
        <v>7.6456906666666669</v>
      </c>
      <c r="W102" s="140">
        <v>150</v>
      </c>
      <c r="X102" s="6">
        <f>IF(Table5[[#This Row],[Cost]],Table5[[#This Row],[Cost]]/Table5[[#This Row],[SizTB]]*Exchange_Rate,"")</f>
        <v>166.66666666666666</v>
      </c>
      <c r="Y102" s="145">
        <f>Table5[[#This Row],[Cost]]+((CompareWarrYrs-Table5[[#This Row],[Warranty]])*(Incremental_Warr_Yr*Table5[[#This Row],[Cost]]))*Exchange_Rate</f>
        <v>150</v>
      </c>
      <c r="Z102" s="6">
        <f>IF(Table5[[#This Row],[$+Warr]],Table5[[#This Row],[$+Warr]]/Table5[[#This Row],[SizTB]],"")</f>
        <v>166.66666666666666</v>
      </c>
      <c r="AA102" s="6">
        <f>IFERROR(Table5[[#This Row],[$PerTB]]/CompareWarrYrs,"")</f>
        <v>33.333333333333329</v>
      </c>
      <c r="AB102" s="6">
        <f>IF(OR(Table5[[#This Row],[$ TB/year]]="",Table5[[#This Row],[Energy$yearPerTB]]=""),"",Table5[[#This Row],[$ TB/year]]+Table5[[#This Row],[Energy$yearPerTB]])</f>
        <v>40.979023999999995</v>
      </c>
      <c r="AC102" s="155"/>
      <c r="AD102" s="156"/>
      <c r="AE102" s="151" t="s">
        <v>139</v>
      </c>
    </row>
    <row r="103" spans="1:31" x14ac:dyDescent="0.25">
      <c r="A103" s="103">
        <v>43284</v>
      </c>
      <c r="B103" t="s">
        <v>41</v>
      </c>
      <c r="C103" s="100" t="s">
        <v>152</v>
      </c>
      <c r="D103" s="82" t="s">
        <v>124</v>
      </c>
      <c r="E103" s="99">
        <v>2.5</v>
      </c>
      <c r="F103" s="99">
        <v>3</v>
      </c>
      <c r="G103" s="42">
        <v>5400</v>
      </c>
      <c r="H103" s="5">
        <v>5.56</v>
      </c>
      <c r="I103" s="5"/>
      <c r="J103" s="61">
        <f>(Table5[[#This Row],[RPM]]/5400-1)</f>
        <v>0</v>
      </c>
      <c r="K103" s="45">
        <v>148</v>
      </c>
      <c r="L103" s="7">
        <v>2</v>
      </c>
      <c r="M103" s="105">
        <v>600000</v>
      </c>
      <c r="N103" s="7"/>
      <c r="O103" s="105"/>
      <c r="P103" s="35">
        <f t="shared" ref="P103:P121" si="15">10^14</f>
        <v>100000000000000</v>
      </c>
      <c r="Q103" s="53"/>
      <c r="R103" s="5">
        <v>1.7</v>
      </c>
      <c r="S103" s="5">
        <v>0.7</v>
      </c>
      <c r="T103" s="107"/>
      <c r="U103" s="110">
        <f>(((Table5[[#This Row],[Watts Active]]*Power_On_Hours_Year/1000)*Active_Duty_Cycle)+((Table5[[#This Row],[Watts Idle]]*Power_On_Hours_Year/1000)*(100%-Active_Duty_Cycle)))*CostPerKWH</f>
        <v>0.98614800000000002</v>
      </c>
      <c r="V103" s="172">
        <f>Table5[Energy$year]/Table5[[#This Row],[SizTB]]</f>
        <v>0.32871600000000001</v>
      </c>
      <c r="W103" s="116">
        <v>128.69</v>
      </c>
      <c r="X103" s="6">
        <f>IF(Table5[[#This Row],[Cost]],Table5[[#This Row],[Cost]]/Table5[[#This Row],[SizTB]]*Exchange_Rate,"")</f>
        <v>42.896666666666668</v>
      </c>
      <c r="Y103" s="145">
        <f>Table5[[#This Row],[Cost]]+((CompareWarrYrs-Table5[[#This Row],[Warranty]])*(Incremental_Warr_Yr*Table5[[#This Row],[Cost]]))</f>
        <v>171.15769999999998</v>
      </c>
      <c r="Z103" s="6">
        <f>IF(Table5[[#This Row],[$+Warr]],Table5[[#This Row],[$+Warr]]/Table5[[#This Row],[SizTB]],"")</f>
        <v>57.052566666666657</v>
      </c>
      <c r="AA103" s="6">
        <f>IFERROR(Table5[[#This Row],[$PerTB]]/CompareWarrYrs,"")</f>
        <v>11.410513333333331</v>
      </c>
      <c r="AB103" s="6">
        <f>IF(OR(Table5[[#This Row],[$ TB/year]]="",Table5[[#This Row],[Energy$yearPerTB]]=""),"",Table5[[#This Row],[$ TB/year]]+Table5[[#This Row],[Energy$yearPerTB]])</f>
        <v>11.739229333333331</v>
      </c>
      <c r="AC103" s="155">
        <v>25</v>
      </c>
      <c r="AD103" s="156">
        <v>25</v>
      </c>
      <c r="AE103" s="151"/>
    </row>
    <row r="104" spans="1:31" x14ac:dyDescent="0.25">
      <c r="A104" s="103">
        <v>43423</v>
      </c>
      <c r="B104" t="s">
        <v>41</v>
      </c>
      <c r="C104" s="104" t="s">
        <v>146</v>
      </c>
      <c r="D104" s="82" t="s">
        <v>124</v>
      </c>
      <c r="E104" s="99">
        <v>2.5</v>
      </c>
      <c r="F104" s="99">
        <v>1</v>
      </c>
      <c r="G104" s="42">
        <v>5400</v>
      </c>
      <c r="H104" s="5">
        <v>5.56</v>
      </c>
      <c r="I104" s="5"/>
      <c r="J104" s="61">
        <f>(Table5[[#This Row],[RPM]]/5400-1)</f>
        <v>0</v>
      </c>
      <c r="K104" s="45"/>
      <c r="L104" s="7">
        <v>2</v>
      </c>
      <c r="M104" s="105"/>
      <c r="N104" s="7"/>
      <c r="O104" s="105"/>
      <c r="P104" s="35">
        <f t="shared" si="15"/>
        <v>100000000000000</v>
      </c>
      <c r="Q104" s="53"/>
      <c r="R104" s="5">
        <v>1.5</v>
      </c>
      <c r="S104" s="5">
        <v>0.55000000000000004</v>
      </c>
      <c r="T104" s="107"/>
      <c r="U104" s="110">
        <f>(((Table5[[#This Row],[Watts Active]]*Power_On_Hours_Year/1000)*Active_Duty_Cycle)+((Table5[[#This Row],[Watts Idle]]*Power_On_Hours_Year/1000)*(100%-Active_Duty_Cycle)))*CostPerKWH</f>
        <v>0.81083280000000013</v>
      </c>
      <c r="V104" s="141">
        <f>Table5[Energy$year]/Table5[[#This Row],[SizTB]]</f>
        <v>0.81083280000000013</v>
      </c>
      <c r="W104" s="116">
        <v>46.99</v>
      </c>
      <c r="X104" s="6">
        <f>IF(Table5[[#This Row],[Cost]],Table5[[#This Row],[Cost]]/Table5[[#This Row],[SizTB]]*Exchange_Rate,"")</f>
        <v>46.99</v>
      </c>
      <c r="Y104" s="145">
        <f>Table5[[#This Row],[Cost]]+((CompareWarrYrs-Table5[[#This Row],[Warranty]])*(Incremental_Warr_Yr*Table5[[#This Row],[Cost]]))</f>
        <v>62.496700000000004</v>
      </c>
      <c r="Z104" s="6">
        <f>IF(Table5[[#This Row],[$+Warr]],Table5[[#This Row],[$+Warr]]/Table5[[#This Row],[SizTB]],"")</f>
        <v>62.496700000000004</v>
      </c>
      <c r="AA104" s="6">
        <f>IFERROR(Table5[[#This Row],[$PerTB]]/CompareWarrYrs,"")</f>
        <v>12.49934</v>
      </c>
      <c r="AB104" s="6">
        <f>IF(OR(Table5[[#This Row],[$ TB/year]]="",Table5[[#This Row],[Energy$yearPerTB]]=""),"",Table5[[#This Row],[$ TB/year]]+Table5[[#This Row],[Energy$yearPerTB]])</f>
        <v>13.3101728</v>
      </c>
      <c r="AC104" s="155">
        <v>23</v>
      </c>
      <c r="AD104" s="156">
        <v>24</v>
      </c>
      <c r="AE104" s="151"/>
    </row>
    <row r="105" spans="1:31" ht="15.75" thickBot="1" x14ac:dyDescent="0.3">
      <c r="A105" s="103">
        <v>43412</v>
      </c>
      <c r="B105" t="s">
        <v>41</v>
      </c>
      <c r="C105" s="104" t="s">
        <v>146</v>
      </c>
      <c r="D105" s="82" t="s">
        <v>124</v>
      </c>
      <c r="E105" s="99">
        <v>2.5</v>
      </c>
      <c r="F105" s="99">
        <v>2</v>
      </c>
      <c r="G105" s="42">
        <v>5400</v>
      </c>
      <c r="H105" s="5"/>
      <c r="I105" s="5"/>
      <c r="J105" s="61">
        <f>(Table5[[#This Row],[RPM]]/5400-1)</f>
        <v>0</v>
      </c>
      <c r="K105" s="45"/>
      <c r="L105" s="7">
        <v>2</v>
      </c>
      <c r="M105" s="105"/>
      <c r="N105" s="7"/>
      <c r="O105" s="105"/>
      <c r="P105" s="35">
        <f t="shared" si="15"/>
        <v>100000000000000</v>
      </c>
      <c r="Q105" s="53"/>
      <c r="R105" s="5"/>
      <c r="S105" s="5"/>
      <c r="T105" s="107"/>
      <c r="U105" s="110">
        <f>(((Table5[[#This Row],[Watts Active]]*Power_On_Hours_Year/1000)*Active_Duty_Cycle)+((Table5[[#This Row],[Watts Idle]]*Power_On_Hours_Year/1000)*(100%-Active_Duty_Cycle)))*CostPerKWH</f>
        <v>0</v>
      </c>
      <c r="V105" s="141">
        <f>Table5[Energy$year]/Table5[[#This Row],[SizTB]]</f>
        <v>0</v>
      </c>
      <c r="W105" s="116">
        <f>82.68*0.9</f>
        <v>74.412000000000006</v>
      </c>
      <c r="X105" s="6">
        <f>IF(Table5[[#This Row],[Cost]],Table5[[#This Row],[Cost]]/Table5[[#This Row],[SizTB]]*Exchange_Rate,"")</f>
        <v>37.206000000000003</v>
      </c>
      <c r="Y105" s="145">
        <f>Table5[[#This Row],[Cost]]+((CompareWarrYrs-Table5[[#This Row],[Warranty]])*(Incremental_Warr_Yr*Table5[[#This Row],[Cost]]))</f>
        <v>98.967960000000005</v>
      </c>
      <c r="Z105" s="6">
        <f>IF(Table5[[#This Row],[$+Warr]],Table5[[#This Row],[$+Warr]]/Table5[[#This Row],[SizTB]],"")</f>
        <v>49.483980000000003</v>
      </c>
      <c r="AA105" s="6">
        <f>IFERROR(Table5[[#This Row],[$PerTB]]/CompareWarrYrs,"")</f>
        <v>9.8967960000000001</v>
      </c>
      <c r="AB105" s="6">
        <f>IF(OR(Table5[[#This Row],[$ TB/year]]="",Table5[[#This Row],[Energy$yearPerTB]]=""),"",Table5[[#This Row],[$ TB/year]]+Table5[[#This Row],[Energy$yearPerTB]])</f>
        <v>9.8967960000000001</v>
      </c>
      <c r="AC105" s="155">
        <v>23</v>
      </c>
      <c r="AD105" s="156">
        <v>24</v>
      </c>
      <c r="AE105" s="151"/>
    </row>
    <row r="106" spans="1:31" ht="15.75" thickBot="1" x14ac:dyDescent="0.3">
      <c r="A106" s="103">
        <v>43580</v>
      </c>
      <c r="B106" t="s">
        <v>41</v>
      </c>
      <c r="C106" s="100" t="s">
        <v>170</v>
      </c>
      <c r="D106" s="82" t="s">
        <v>49</v>
      </c>
      <c r="E106" s="99">
        <v>3.5</v>
      </c>
      <c r="F106" s="99">
        <v>16</v>
      </c>
      <c r="G106" s="42">
        <v>7200</v>
      </c>
      <c r="H106" s="5"/>
      <c r="I106" s="5"/>
      <c r="J106" s="61">
        <f>(Table5[[#This Row],[RPM]]/5400-1)</f>
        <v>0.33333333333333326</v>
      </c>
      <c r="K106" s="45"/>
      <c r="L106" s="7"/>
      <c r="M106" s="36">
        <v>600000</v>
      </c>
      <c r="N106">
        <v>550</v>
      </c>
      <c r="O106" s="36">
        <v>2500000</v>
      </c>
      <c r="P106" s="35">
        <f t="shared" ref="P106:P110" si="16">10^16</f>
        <v>1E+16</v>
      </c>
      <c r="Q106" s="53"/>
      <c r="R106" s="5"/>
      <c r="S106" s="5"/>
      <c r="T106" s="107"/>
      <c r="U106" s="110">
        <f>(((Table5[[#This Row],[Watts Active]]*Power_On_Hours_Year/1000)*Active_Duty_Cycle)+((Table5[[#This Row],[Watts Idle]]*Power_On_Hours_Year/1000)*(100%-Active_Duty_Cycle)))*CostPerKWH</f>
        <v>0</v>
      </c>
      <c r="V106" s="141">
        <f>Table5[Energy$year]/Table5[[#This Row],[SizTB]]</f>
        <v>0</v>
      </c>
      <c r="W106" s="116"/>
      <c r="X106" s="6" t="str">
        <f>IF(Table5[[#This Row],[Cost]],Table5[[#This Row],[Cost]]/Table5[[#This Row],[SizTB]]*Exchange_Rate,"")</f>
        <v/>
      </c>
      <c r="Y106" s="145">
        <f>Table5[[#This Row],[Cost]]+((CompareWarrYrs-Table5[[#This Row],[Warranty]])*(Incremental_Warr_Yr*Table5[[#This Row],[Cost]]))</f>
        <v>0</v>
      </c>
      <c r="Z106" s="6" t="str">
        <f>IF(Table5[[#This Row],[$+Warr]],Table5[[#This Row],[$+Warr]]/Table5[[#This Row],[SizTB]],"")</f>
        <v/>
      </c>
      <c r="AA106" s="6" t="str">
        <f>IFERROR(Table5[[#This Row],[$PerTB]]/CompareWarrYrs,"")</f>
        <v/>
      </c>
      <c r="AB106" s="6" t="str">
        <f>IF(OR(Table5[[#This Row],[$ TB/year]]="",Table5[[#This Row],[Energy$yearPerTB]]=""),"",Table5[[#This Row],[$ TB/year]]+Table5[[#This Row],[Energy$yearPerTB]])</f>
        <v/>
      </c>
      <c r="AC106" s="155">
        <v>20</v>
      </c>
      <c r="AD106" s="156"/>
      <c r="AE106" s="195" t="s">
        <v>37</v>
      </c>
    </row>
    <row r="107" spans="1:31" x14ac:dyDescent="0.25">
      <c r="A107" s="103">
        <v>43363</v>
      </c>
      <c r="B107" t="s">
        <v>41</v>
      </c>
      <c r="C107" s="104" t="s">
        <v>162</v>
      </c>
      <c r="D107" s="82" t="s">
        <v>49</v>
      </c>
      <c r="E107" s="99">
        <v>3.5</v>
      </c>
      <c r="F107" s="99">
        <v>4</v>
      </c>
      <c r="G107" s="42">
        <v>7200</v>
      </c>
      <c r="H107" s="5"/>
      <c r="I107" s="5"/>
      <c r="J107" s="61">
        <f>(Table5[[#This Row],[RPM]]/5400-1)</f>
        <v>0.33333333333333326</v>
      </c>
      <c r="K107" s="45">
        <v>195</v>
      </c>
      <c r="L107" s="7"/>
      <c r="M107" s="36">
        <v>600000</v>
      </c>
      <c r="N107">
        <v>550</v>
      </c>
      <c r="O107" s="36">
        <v>2500000</v>
      </c>
      <c r="P107" s="35">
        <f t="shared" si="16"/>
        <v>1E+16</v>
      </c>
      <c r="Q107" s="53"/>
      <c r="R107" s="5">
        <v>9.6</v>
      </c>
      <c r="S107" s="5">
        <v>5.2</v>
      </c>
      <c r="T107" s="107"/>
      <c r="U107" s="110">
        <f>(((Table5[[#This Row],[Watts Active]]*Power_On_Hours_Year/1000)*Active_Duty_Cycle)+((Table5[[#This Row],[Watts Idle]]*Power_On_Hours_Year/1000)*(100%-Active_Duty_Cycle)))*CostPerKWH</f>
        <v>6.6619776000000011</v>
      </c>
      <c r="V107" s="141">
        <f>Table5[Energy$year]/Table5[[#This Row],[SizTB]]</f>
        <v>1.6654944000000003</v>
      </c>
      <c r="W107" s="116"/>
      <c r="X107" s="6" t="str">
        <f>IF(Table5[[#This Row],[Cost]],Table5[[#This Row],[Cost]]/Table5[[#This Row],[SizTB]]*Exchange_Rate,"")</f>
        <v/>
      </c>
      <c r="Y107" s="145">
        <f>Table5[[#This Row],[Cost]]+((CompareWarrYrs-Table5[[#This Row],[Warranty]])*(Incremental_Warr_Yr*Table5[[#This Row],[Cost]]))</f>
        <v>0</v>
      </c>
      <c r="Z107" s="6" t="str">
        <f>IF(Table5[[#This Row],[$+Warr]],Table5[[#This Row],[$+Warr]]/Table5[[#This Row],[SizTB]],"")</f>
        <v/>
      </c>
      <c r="AA107" s="6" t="str">
        <f>IFERROR(Table5[[#This Row],[$PerTB]]/CompareWarrYrs,"")</f>
        <v/>
      </c>
      <c r="AB107" s="6" t="str">
        <f>IF(OR(Table5[[#This Row],[$ TB/year]]="",Table5[[#This Row],[Energy$yearPerTB]]=""),"",Table5[[#This Row],[$ TB/year]]+Table5[[#This Row],[Energy$yearPerTB]])</f>
        <v/>
      </c>
      <c r="AC107" s="155">
        <v>30</v>
      </c>
      <c r="AD107" s="156">
        <v>34</v>
      </c>
      <c r="AE107" s="151"/>
    </row>
    <row r="108" spans="1:31" x14ac:dyDescent="0.25">
      <c r="A108" s="103">
        <v>43363</v>
      </c>
      <c r="B108" t="s">
        <v>41</v>
      </c>
      <c r="C108" s="104" t="s">
        <v>161</v>
      </c>
      <c r="D108" s="82" t="s">
        <v>49</v>
      </c>
      <c r="E108" s="99">
        <v>3.5</v>
      </c>
      <c r="F108" s="99">
        <v>6</v>
      </c>
      <c r="G108" s="42">
        <v>7200</v>
      </c>
      <c r="H108" s="5"/>
      <c r="I108" s="5"/>
      <c r="J108" s="61">
        <f>(Table5[[#This Row],[RPM]]/5400-1)</f>
        <v>0.33333333333333326</v>
      </c>
      <c r="K108" s="45">
        <v>205</v>
      </c>
      <c r="L108" s="7"/>
      <c r="M108" s="36">
        <v>600000</v>
      </c>
      <c r="N108">
        <v>550</v>
      </c>
      <c r="O108" s="36">
        <v>2500000</v>
      </c>
      <c r="P108" s="35">
        <f t="shared" si="16"/>
        <v>1E+16</v>
      </c>
      <c r="Q108" s="53"/>
      <c r="R108" s="5">
        <v>10.1</v>
      </c>
      <c r="S108" s="5">
        <v>6.7</v>
      </c>
      <c r="T108" s="107"/>
      <c r="U108" s="110">
        <f>(((Table5[[#This Row],[Watts Active]]*Power_On_Hours_Year/1000)*Active_Duty_Cycle)+((Table5[[#This Row],[Watts Idle]]*Power_On_Hours_Year/1000)*(100%-Active_Duty_Cycle)))*CostPerKWH</f>
        <v>8.0864136000000002</v>
      </c>
      <c r="V108" s="141">
        <f>Table5[Energy$year]/Table5[[#This Row],[SizTB]]</f>
        <v>1.3477356</v>
      </c>
      <c r="W108" s="116"/>
      <c r="X108" s="6" t="str">
        <f>IF(Table5[[#This Row],[Cost]],Table5[[#This Row],[Cost]]/Table5[[#This Row],[SizTB]]*Exchange_Rate,"")</f>
        <v/>
      </c>
      <c r="Y108" s="145">
        <f>Table5[[#This Row],[Cost]]+((CompareWarrYrs-Table5[[#This Row],[Warranty]])*(Incremental_Warr_Yr*Table5[[#This Row],[Cost]]))</f>
        <v>0</v>
      </c>
      <c r="Z108" s="6" t="str">
        <f>IF(Table5[[#This Row],[$+Warr]],Table5[[#This Row],[$+Warr]]/Table5[[#This Row],[SizTB]],"")</f>
        <v/>
      </c>
      <c r="AA108" s="6" t="str">
        <f>IFERROR(Table5[[#This Row],[$PerTB]]/CompareWarrYrs,"")</f>
        <v/>
      </c>
      <c r="AB108" s="6" t="str">
        <f>IF(OR(Table5[[#This Row],[$ TB/year]]="",Table5[[#This Row],[Energy$yearPerTB]]=""),"",Table5[[#This Row],[$ TB/year]]+Table5[[#This Row],[Energy$yearPerTB]])</f>
        <v/>
      </c>
      <c r="AC108" s="155">
        <v>33</v>
      </c>
      <c r="AD108" s="156">
        <v>35</v>
      </c>
      <c r="AE108" s="151"/>
    </row>
    <row r="109" spans="1:31" x14ac:dyDescent="0.25">
      <c r="A109" s="103">
        <v>43363</v>
      </c>
      <c r="B109" t="s">
        <v>41</v>
      </c>
      <c r="C109" s="104" t="s">
        <v>160</v>
      </c>
      <c r="D109" s="82" t="s">
        <v>49</v>
      </c>
      <c r="E109" s="99">
        <v>3.5</v>
      </c>
      <c r="F109" s="99">
        <v>8</v>
      </c>
      <c r="G109" s="42">
        <v>7200</v>
      </c>
      <c r="H109" s="5"/>
      <c r="I109" s="5"/>
      <c r="J109" s="61">
        <f>(Table5[[#This Row],[RPM]]/5400-1)</f>
        <v>0.33333333333333326</v>
      </c>
      <c r="K109" s="45">
        <v>230</v>
      </c>
      <c r="L109" s="7"/>
      <c r="M109" s="36">
        <v>600000</v>
      </c>
      <c r="N109">
        <v>550</v>
      </c>
      <c r="O109" s="36">
        <v>2500000</v>
      </c>
      <c r="P109" s="35">
        <f t="shared" si="16"/>
        <v>1E+16</v>
      </c>
      <c r="Q109" s="53"/>
      <c r="R109" s="5">
        <v>9.1999999999999993</v>
      </c>
      <c r="S109" s="5">
        <v>6.2</v>
      </c>
      <c r="T109" s="107"/>
      <c r="U109" s="110">
        <f>(((Table5[[#This Row],[Watts Active]]*Power_On_Hours_Year/1000)*Active_Duty_Cycle)+((Table5[[#This Row],[Watts Idle]]*Power_On_Hours_Year/1000)*(100%-Active_Duty_Cycle)))*CostPerKWH</f>
        <v>7.4508960000000002</v>
      </c>
      <c r="V109" s="141">
        <f>Table5[Energy$year]/Table5[[#This Row],[SizTB]]</f>
        <v>0.93136200000000002</v>
      </c>
      <c r="W109" s="116"/>
      <c r="X109" s="6" t="str">
        <f>IF(Table5[[#This Row],[Cost]],Table5[[#This Row],[Cost]]/Table5[[#This Row],[SizTB]]*Exchange_Rate,"")</f>
        <v/>
      </c>
      <c r="Y109" s="145">
        <f>Table5[[#This Row],[Cost]]+((CompareWarrYrs-Table5[[#This Row],[Warranty]])*(Incremental_Warr_Yr*Table5[[#This Row],[Cost]]))</f>
        <v>0</v>
      </c>
      <c r="Z109" s="6" t="str">
        <f>IF(Table5[[#This Row],[$+Warr]],Table5[[#This Row],[$+Warr]]/Table5[[#This Row],[SizTB]],"")</f>
        <v/>
      </c>
      <c r="AA109" s="6" t="str">
        <f>IFERROR(Table5[[#This Row],[$PerTB]]/CompareWarrYrs,"")</f>
        <v/>
      </c>
      <c r="AB109" s="6" t="str">
        <f>IF(OR(Table5[[#This Row],[$ TB/year]]="",Table5[[#This Row],[Energy$yearPerTB]]=""),"",Table5[[#This Row],[$ TB/year]]+Table5[[#This Row],[Energy$yearPerTB]])</f>
        <v/>
      </c>
      <c r="AC109" s="155">
        <v>33</v>
      </c>
      <c r="AD109" s="156">
        <v>35</v>
      </c>
      <c r="AE109" s="151"/>
    </row>
    <row r="110" spans="1:31" x14ac:dyDescent="0.25">
      <c r="A110" s="103">
        <v>43363</v>
      </c>
      <c r="B110" t="s">
        <v>41</v>
      </c>
      <c r="C110" s="104" t="s">
        <v>159</v>
      </c>
      <c r="D110" s="82" t="s">
        <v>49</v>
      </c>
      <c r="E110" s="99">
        <v>3.5</v>
      </c>
      <c r="F110" s="99">
        <v>10</v>
      </c>
      <c r="G110" s="42">
        <v>7200</v>
      </c>
      <c r="H110" s="5"/>
      <c r="I110" s="5"/>
      <c r="J110" s="61">
        <f>(Table5[[#This Row],[RPM]]/5400-1)</f>
        <v>0.33333333333333326</v>
      </c>
      <c r="K110" s="45">
        <v>237</v>
      </c>
      <c r="L110" s="7"/>
      <c r="M110" s="36">
        <v>600000</v>
      </c>
      <c r="N110">
        <v>550</v>
      </c>
      <c r="O110" s="36">
        <v>2500000</v>
      </c>
      <c r="P110" s="35">
        <f t="shared" si="16"/>
        <v>1E+16</v>
      </c>
      <c r="Q110" s="53"/>
      <c r="R110" s="5">
        <v>9.92</v>
      </c>
      <c r="S110" s="5">
        <v>7.22</v>
      </c>
      <c r="T110" s="107"/>
      <c r="U110" s="110">
        <f>(((Table5[[#This Row],[Watts Active]]*Power_On_Hours_Year/1000)*Active_Duty_Cycle)+((Table5[[#This Row],[Watts Idle]]*Power_On_Hours_Year/1000)*(100%-Active_Duty_Cycle)))*CostPerKWH</f>
        <v>8.5027872000000002</v>
      </c>
      <c r="V110" s="141">
        <f>Table5[Energy$year]/Table5[[#This Row],[SizTB]]</f>
        <v>0.85027872000000004</v>
      </c>
      <c r="W110" s="116"/>
      <c r="X110" s="6" t="str">
        <f>IF(Table5[[#This Row],[Cost]],Table5[[#This Row],[Cost]]/Table5[[#This Row],[SizTB]]*Exchange_Rate,"")</f>
        <v/>
      </c>
      <c r="Y110" s="145">
        <f>Table5[[#This Row],[Cost]]+((CompareWarrYrs-Table5[[#This Row],[Warranty]])*(Incremental_Warr_Yr*Table5[[#This Row],[Cost]]))</f>
        <v>0</v>
      </c>
      <c r="Z110" s="6" t="str">
        <f>IF(Table5[[#This Row],[$+Warr]],Table5[[#This Row],[$+Warr]]/Table5[[#This Row],[SizTB]],"")</f>
        <v/>
      </c>
      <c r="AA110" s="6" t="str">
        <f>IFERROR(Table5[[#This Row],[$PerTB]]/CompareWarrYrs,"")</f>
        <v/>
      </c>
      <c r="AB110" s="6" t="str">
        <f>IF(OR(Table5[[#This Row],[$ TB/year]]="",Table5[[#This Row],[Energy$yearPerTB]]=""),"",Table5[[#This Row],[$ TB/year]]+Table5[[#This Row],[Energy$yearPerTB]])</f>
        <v/>
      </c>
      <c r="AC110" s="155">
        <v>34</v>
      </c>
      <c r="AD110" s="156">
        <v>35</v>
      </c>
      <c r="AE110" s="151"/>
    </row>
    <row r="111" spans="1:31" x14ac:dyDescent="0.25">
      <c r="A111" s="103">
        <v>43580</v>
      </c>
      <c r="B111" t="s">
        <v>41</v>
      </c>
      <c r="C111" s="104" t="s">
        <v>158</v>
      </c>
      <c r="D111" s="82" t="s">
        <v>49</v>
      </c>
      <c r="E111" s="99">
        <v>3.5</v>
      </c>
      <c r="F111" s="99">
        <v>12</v>
      </c>
      <c r="G111" s="42">
        <v>7200</v>
      </c>
      <c r="H111" s="5"/>
      <c r="I111" s="5"/>
      <c r="J111" s="61">
        <f>(Table5[[#This Row],[RPM]]/5400-1)</f>
        <v>0.33333333333333326</v>
      </c>
      <c r="K111" s="45">
        <v>242</v>
      </c>
      <c r="L111" s="7"/>
      <c r="M111" s="36">
        <v>600000</v>
      </c>
      <c r="N111">
        <v>550</v>
      </c>
      <c r="O111" s="36">
        <v>2500000</v>
      </c>
      <c r="P111" s="35">
        <f t="shared" ref="P111:P112" si="17">10^16</f>
        <v>1E+16</v>
      </c>
      <c r="Q111" s="53"/>
      <c r="R111" s="5">
        <v>7.83</v>
      </c>
      <c r="S111" s="5">
        <v>4.25</v>
      </c>
      <c r="T111" s="107"/>
      <c r="U111" s="110">
        <f>(((Table5[[#This Row],[Watts Active]]*Power_On_Hours_Year/1000)*Active_Duty_Cycle)+((Table5[[#This Row],[Watts Idle]]*Power_On_Hours_Year/1000)*(100%-Active_Duty_Cycle)))*CostPerKWH</f>
        <v>5.4413455200000005</v>
      </c>
      <c r="V111" s="141">
        <f>Table5[Energy$year]/Table5[[#This Row],[SizTB]]</f>
        <v>0.45344546000000002</v>
      </c>
      <c r="W111" s="116"/>
      <c r="X111" s="6" t="str">
        <f>IF(Table5[[#This Row],[Cost]],Table5[[#This Row],[Cost]]/Table5[[#This Row],[SizTB]]*Exchange_Rate,"")</f>
        <v/>
      </c>
      <c r="Y111" s="145">
        <f>Table5[[#This Row],[Cost]]+((CompareWarrYrs-Table5[[#This Row],[Warranty]])*(Incremental_Warr_Yr*Table5[[#This Row],[Cost]]))</f>
        <v>0</v>
      </c>
      <c r="Z111" s="6" t="str">
        <f>IF(Table5[[#This Row],[$+Warr]],Table5[[#This Row],[$+Warr]]/Table5[[#This Row],[SizTB]],"")</f>
        <v/>
      </c>
      <c r="AA111" s="6" t="str">
        <f>IFERROR(Table5[[#This Row],[$PerTB]]/CompareWarrYrs,"")</f>
        <v/>
      </c>
      <c r="AB111" s="6" t="str">
        <f>IF(OR(Table5[[#This Row],[$ TB/year]]="",Table5[[#This Row],[Energy$yearPerTB]]=""),"",Table5[[#This Row],[$ TB/year]]+Table5[[#This Row],[Energy$yearPerTB]])</f>
        <v/>
      </c>
      <c r="AC111" s="155">
        <v>20</v>
      </c>
      <c r="AD111" s="156">
        <v>35</v>
      </c>
      <c r="AE111" s="151"/>
    </row>
    <row r="112" spans="1:31" x14ac:dyDescent="0.25">
      <c r="A112" s="103">
        <v>43580</v>
      </c>
      <c r="B112" t="s">
        <v>41</v>
      </c>
      <c r="C112" s="104" t="s">
        <v>157</v>
      </c>
      <c r="D112" s="82" t="s">
        <v>49</v>
      </c>
      <c r="E112" s="99">
        <v>3.5</v>
      </c>
      <c r="F112" s="99">
        <v>14</v>
      </c>
      <c r="G112" s="42">
        <v>7200</v>
      </c>
      <c r="H112" s="5"/>
      <c r="I112" s="5"/>
      <c r="J112" s="61">
        <f>(Table5[[#This Row],[RPM]]/5400-1)</f>
        <v>0.33333333333333326</v>
      </c>
      <c r="K112" s="45">
        <v>248</v>
      </c>
      <c r="L112" s="7"/>
      <c r="M112" s="36">
        <v>600000</v>
      </c>
      <c r="N112">
        <v>550</v>
      </c>
      <c r="O112" s="36">
        <v>2500000</v>
      </c>
      <c r="P112" s="35">
        <f t="shared" si="17"/>
        <v>1E+16</v>
      </c>
      <c r="Q112" s="53"/>
      <c r="R112" s="5">
        <v>8.09</v>
      </c>
      <c r="S112" s="5">
        <v>4.53</v>
      </c>
      <c r="T112" s="107"/>
      <c r="U112" s="110">
        <f>(((Table5[[#This Row],[Watts Active]]*Power_On_Hours_Year/1000)*Active_Duty_Cycle)+((Table5[[#This Row],[Watts Idle]]*Power_On_Hours_Year/1000)*(100%-Active_Duty_Cycle)))*CostPerKWH</f>
        <v>5.7437642400000009</v>
      </c>
      <c r="V112" s="141">
        <f>Table5[Energy$year]/Table5[[#This Row],[SizTB]]</f>
        <v>0.41026887428571435</v>
      </c>
      <c r="W112" s="116"/>
      <c r="X112" s="6" t="str">
        <f>IF(Table5[[#This Row],[Cost]],Table5[[#This Row],[Cost]]/Table5[[#This Row],[SizTB]]*Exchange_Rate,"")</f>
        <v/>
      </c>
      <c r="Y112" s="145">
        <f>Table5[[#This Row],[Cost]]+((CompareWarrYrs-Table5[[#This Row],[Warranty]])*(Incremental_Warr_Yr*Table5[[#This Row],[Cost]]))</f>
        <v>0</v>
      </c>
      <c r="Z112" s="6" t="str">
        <f>IF(Table5[[#This Row],[$+Warr]],Table5[[#This Row],[$+Warr]]/Table5[[#This Row],[SizTB]],"")</f>
        <v/>
      </c>
      <c r="AA112" s="6" t="str">
        <f>IFERROR(Table5[[#This Row],[$PerTB]]/CompareWarrYrs,"")</f>
        <v/>
      </c>
      <c r="AB112" s="6" t="str">
        <f>IF(OR(Table5[[#This Row],[$ TB/year]]="",Table5[[#This Row],[Energy$yearPerTB]]=""),"",Table5[[#This Row],[$ TB/year]]+Table5[[#This Row],[Energy$yearPerTB]])</f>
        <v/>
      </c>
      <c r="AC112" s="155">
        <v>20</v>
      </c>
      <c r="AD112" s="156">
        <v>35</v>
      </c>
      <c r="AE112" s="151"/>
    </row>
    <row r="113" spans="1:31" x14ac:dyDescent="0.25">
      <c r="A113" s="1">
        <v>43579</v>
      </c>
      <c r="B113" t="s">
        <v>41</v>
      </c>
      <c r="C113" s="95" t="s">
        <v>42</v>
      </c>
      <c r="D113" s="27" t="s">
        <v>49</v>
      </c>
      <c r="E113" s="81">
        <v>3.5</v>
      </c>
      <c r="F113" s="69">
        <v>4</v>
      </c>
      <c r="G113" s="42">
        <v>7200</v>
      </c>
      <c r="H113" s="5">
        <v>4.17</v>
      </c>
      <c r="I113" s="5"/>
      <c r="J113" s="61">
        <f>(Table5[[#This Row],[RPM]]/5400-1)</f>
        <v>0.33333333333333326</v>
      </c>
      <c r="K113" s="45">
        <v>204</v>
      </c>
      <c r="L113">
        <v>3</v>
      </c>
      <c r="M113" s="36">
        <v>300000</v>
      </c>
      <c r="N113">
        <v>180</v>
      </c>
      <c r="O113" s="36">
        <v>1000000</v>
      </c>
      <c r="P113" s="35">
        <f t="shared" si="15"/>
        <v>100000000000000</v>
      </c>
      <c r="Q113" s="53"/>
      <c r="R113" s="5">
        <v>9.6</v>
      </c>
      <c r="S113" s="5">
        <v>5.2</v>
      </c>
      <c r="T113" s="107"/>
      <c r="U113" s="110">
        <f>(((Table5[[#This Row],[Watts Active]]*Power_On_Hours_Year/1000)*Active_Duty_Cycle)+((Table5[[#This Row],[Watts Idle]]*Power_On_Hours_Year/1000)*(100%-Active_Duty_Cycle)))*CostPerKWH</f>
        <v>6.6619776000000011</v>
      </c>
      <c r="V113" s="141">
        <f>Table5[Energy$year]/Table5[[#This Row],[SizTB]]</f>
        <v>1.6654944000000003</v>
      </c>
      <c r="W113" s="140">
        <v>116.99</v>
      </c>
      <c r="X113" s="6">
        <f>IF(Table5[[#This Row],[Cost]],Table5[[#This Row],[Cost]]/Table5[[#This Row],[SizTB]]*Exchange_Rate,"")</f>
        <v>29.247499999999999</v>
      </c>
      <c r="Y113" s="145">
        <f>Table5[[#This Row],[Cost]]+((CompareWarrYrs-Table5[[#This Row],[Warranty]])*(Incremental_Warr_Yr*Table5[[#This Row],[Cost]]))*Exchange_Rate</f>
        <v>142.7278</v>
      </c>
      <c r="Z113" s="6">
        <f>IF(Table5[[#This Row],[$+Warr]],Table5[[#This Row],[$+Warr]]/Table5[[#This Row],[SizTB]],"")</f>
        <v>35.681950000000001</v>
      </c>
      <c r="AA113" s="6">
        <f>Table5[[#This Row],[$PerTB]]/CompareWarrYrs</f>
        <v>7.1363900000000005</v>
      </c>
      <c r="AB113" s="6">
        <f>IF(OR(Table5[[#This Row],[$ TB/year]]="",Table5[[#This Row],[Energy$yearPerTB]]=""),"",Table5[[#This Row],[$ TB/year]]+Table5[[#This Row],[Energy$yearPerTB]])</f>
        <v>8.8018844000000005</v>
      </c>
      <c r="AC113" s="155">
        <v>30</v>
      </c>
      <c r="AD113" s="156">
        <v>34</v>
      </c>
      <c r="AE113" s="151"/>
    </row>
    <row r="114" spans="1:31" x14ac:dyDescent="0.25">
      <c r="A114" s="1">
        <v>43580</v>
      </c>
      <c r="B114" t="s">
        <v>41</v>
      </c>
      <c r="C114" s="95" t="s">
        <v>42</v>
      </c>
      <c r="D114" s="27" t="s">
        <v>49</v>
      </c>
      <c r="E114" s="81">
        <v>3.5</v>
      </c>
      <c r="F114" s="69">
        <v>6</v>
      </c>
      <c r="G114" s="42">
        <v>7200</v>
      </c>
      <c r="H114" s="5">
        <v>4.17</v>
      </c>
      <c r="I114" s="5"/>
      <c r="J114" s="61">
        <f>(Table5[[#This Row],[RPM]]/5400-1)</f>
        <v>0.33333333333333326</v>
      </c>
      <c r="K114" s="45">
        <v>241</v>
      </c>
      <c r="L114">
        <v>3</v>
      </c>
      <c r="M114" s="36">
        <v>300000</v>
      </c>
      <c r="N114">
        <v>180</v>
      </c>
      <c r="O114" s="36">
        <v>1000000</v>
      </c>
      <c r="P114" s="35">
        <f t="shared" si="15"/>
        <v>100000000000000</v>
      </c>
      <c r="Q114" s="53"/>
      <c r="R114" s="5">
        <v>10.1</v>
      </c>
      <c r="S114" s="5">
        <v>6.7</v>
      </c>
      <c r="T114" s="107"/>
      <c r="U114" s="110">
        <f>(((Table5[[#This Row],[Watts Active]]*Power_On_Hours_Year/1000)*Active_Duty_Cycle)+((Table5[[#This Row],[Watts Idle]]*Power_On_Hours_Year/1000)*(100%-Active_Duty_Cycle)))*CostPerKWH</f>
        <v>8.0864136000000002</v>
      </c>
      <c r="V114" s="141">
        <f>Table5[Energy$year]/Table5[[#This Row],[SizTB]]</f>
        <v>1.3477356</v>
      </c>
      <c r="W114" s="140">
        <v>174.92</v>
      </c>
      <c r="X114" s="6">
        <f>IF(Table5[[#This Row],[Cost]],Table5[[#This Row],[Cost]]/Table5[[#This Row],[SizTB]]*Exchange_Rate,"")</f>
        <v>29.153333333333332</v>
      </c>
      <c r="Y114" s="145">
        <f>Table5[[#This Row],[Cost]]+((CompareWarrYrs-Table5[[#This Row],[Warranty]])*(Incremental_Warr_Yr*Table5[[#This Row],[Cost]]))*Exchange_Rate</f>
        <v>213.4024</v>
      </c>
      <c r="Z114" s="6">
        <f>IF(Table5[[#This Row],[$+Warr]],Table5[[#This Row],[$+Warr]]/Table5[[#This Row],[SizTB]],"")</f>
        <v>35.567066666666669</v>
      </c>
      <c r="AA114" s="6">
        <f>Table5[[#This Row],[$PerTB]]/CompareWarrYrs</f>
        <v>7.1134133333333338</v>
      </c>
      <c r="AB114" s="6">
        <f>IF(OR(Table5[[#This Row],[$ TB/year]]="",Table5[[#This Row],[Energy$yearPerTB]]=""),"",Table5[[#This Row],[$ TB/year]]+Table5[[#This Row],[Energy$yearPerTB]])</f>
        <v>8.4611489333333338</v>
      </c>
      <c r="AC114" s="155">
        <v>33</v>
      </c>
      <c r="AD114" s="156">
        <v>35</v>
      </c>
      <c r="AE114" s="151"/>
    </row>
    <row r="115" spans="1:31" x14ac:dyDescent="0.25">
      <c r="A115" s="1">
        <v>43579</v>
      </c>
      <c r="B115" t="s">
        <v>41</v>
      </c>
      <c r="C115" s="95" t="s">
        <v>42</v>
      </c>
      <c r="D115" s="27" t="s">
        <v>49</v>
      </c>
      <c r="E115" s="81">
        <v>3.5</v>
      </c>
      <c r="F115" s="69">
        <v>8</v>
      </c>
      <c r="G115" s="42">
        <v>7200</v>
      </c>
      <c r="H115" s="5">
        <v>4.17</v>
      </c>
      <c r="I115" s="5"/>
      <c r="J115" s="61">
        <f>(Table5[[#This Row],[RPM]]/5400-1)</f>
        <v>0.33333333333333326</v>
      </c>
      <c r="K115" s="45">
        <v>241</v>
      </c>
      <c r="L115">
        <v>3</v>
      </c>
      <c r="M115" s="36">
        <v>300000</v>
      </c>
      <c r="N115">
        <v>180</v>
      </c>
      <c r="O115" s="36">
        <v>1000000</v>
      </c>
      <c r="P115" s="35">
        <f t="shared" si="15"/>
        <v>100000000000000</v>
      </c>
      <c r="Q115" s="53"/>
      <c r="R115" s="5">
        <v>9.1999999999999993</v>
      </c>
      <c r="S115" s="5">
        <v>6.2</v>
      </c>
      <c r="T115" s="107"/>
      <c r="U115" s="110">
        <f>(((Table5[[#This Row],[Watts Active]]*Power_On_Hours_Year/1000)*Active_Duty_Cycle)+((Table5[[#This Row],[Watts Idle]]*Power_On_Hours_Year/1000)*(100%-Active_Duty_Cycle)))*CostPerKWH</f>
        <v>7.4508960000000002</v>
      </c>
      <c r="V115" s="141">
        <f>Table5[Energy$year]/Table5[[#This Row],[SizTB]]</f>
        <v>0.93136200000000002</v>
      </c>
      <c r="W115" s="140">
        <v>219.99</v>
      </c>
      <c r="X115" s="6">
        <f>IF(Table5[[#This Row],[Cost]],Table5[[#This Row],[Cost]]/Table5[[#This Row],[SizTB]]*Exchange_Rate,"")</f>
        <v>27.498750000000001</v>
      </c>
      <c r="Y115" s="145">
        <f>Table5[[#This Row],[Cost]]+((CompareWarrYrs-Table5[[#This Row],[Warranty]])*(Incremental_Warr_Yr*Table5[[#This Row],[Cost]]))*Exchange_Rate</f>
        <v>268.38780000000003</v>
      </c>
      <c r="Z115" s="6">
        <f>IF(Table5[[#This Row],[$+Warr]],Table5[[#This Row],[$+Warr]]/Table5[[#This Row],[SizTB]],"")</f>
        <v>33.548475000000003</v>
      </c>
      <c r="AA115" s="6">
        <f>Table5[[#This Row],[$PerTB]]/CompareWarrYrs</f>
        <v>6.7096950000000009</v>
      </c>
      <c r="AB115" s="6">
        <f>IF(OR(Table5[[#This Row],[$ TB/year]]="",Table5[[#This Row],[Energy$yearPerTB]]=""),"",Table5[[#This Row],[$ TB/year]]+Table5[[#This Row],[Energy$yearPerTB]])</f>
        <v>7.6410570000000009</v>
      </c>
      <c r="AC115" s="155">
        <v>33</v>
      </c>
      <c r="AD115" s="156">
        <v>35</v>
      </c>
      <c r="AE115" s="151"/>
    </row>
    <row r="116" spans="1:31" x14ac:dyDescent="0.25">
      <c r="A116" s="1">
        <v>43579</v>
      </c>
      <c r="B116" t="s">
        <v>41</v>
      </c>
      <c r="C116" s="95" t="s">
        <v>42</v>
      </c>
      <c r="D116" s="106" t="s">
        <v>49</v>
      </c>
      <c r="E116" s="81">
        <v>3.5</v>
      </c>
      <c r="F116" s="69">
        <v>10</v>
      </c>
      <c r="G116" s="42">
        <v>7200</v>
      </c>
      <c r="H116" s="5">
        <v>4.17</v>
      </c>
      <c r="I116" s="5"/>
      <c r="J116" s="61">
        <f>(Table5[[#This Row],[RPM]]/5400-1)</f>
        <v>0.33333333333333326</v>
      </c>
      <c r="K116" s="45">
        <v>248</v>
      </c>
      <c r="L116">
        <v>3</v>
      </c>
      <c r="M116" s="36">
        <v>300000</v>
      </c>
      <c r="N116">
        <v>180</v>
      </c>
      <c r="O116" s="36">
        <v>1000000</v>
      </c>
      <c r="P116" s="35">
        <f t="shared" si="15"/>
        <v>100000000000000</v>
      </c>
      <c r="Q116" s="53"/>
      <c r="R116" s="5">
        <v>9.92</v>
      </c>
      <c r="S116" s="5">
        <v>7.22</v>
      </c>
      <c r="T116" s="107"/>
      <c r="U116" s="110">
        <f>(((Table5[[#This Row],[Watts Active]]*Power_On_Hours_Year/1000)*Active_Duty_Cycle)+((Table5[[#This Row],[Watts Idle]]*Power_On_Hours_Year/1000)*(100%-Active_Duty_Cycle)))*CostPerKWH</f>
        <v>8.5027872000000002</v>
      </c>
      <c r="V116" s="141">
        <f>Table5[Energy$year]/Table5[[#This Row],[SizTB]]</f>
        <v>0.85027872000000004</v>
      </c>
      <c r="W116" s="140">
        <v>295.99</v>
      </c>
      <c r="X116" s="6">
        <f>IF(Table5[[#This Row],[Cost]],Table5[[#This Row],[Cost]]/Table5[[#This Row],[SizTB]]*Exchange_Rate,"")</f>
        <v>29.599</v>
      </c>
      <c r="Y116" s="145">
        <f>Table5[[#This Row],[Cost]]+((CompareWarrYrs-Table5[[#This Row],[Warranty]])*(Incremental_Warr_Yr*Table5[[#This Row],[Cost]]))*Exchange_Rate</f>
        <v>361.1078</v>
      </c>
      <c r="Z116" s="6">
        <f>IF(Table5[[#This Row],[$+Warr]],Table5[[#This Row],[$+Warr]]/Table5[[#This Row],[SizTB]],"")</f>
        <v>36.110779999999998</v>
      </c>
      <c r="AA116" s="6">
        <f>IFERROR(Table5[[#This Row],[$PerTB]]/CompareWarrYrs,"")</f>
        <v>7.222156</v>
      </c>
      <c r="AB116" s="6">
        <f>IF(OR(Table5[[#This Row],[$ TB/year]]="",Table5[[#This Row],[Energy$yearPerTB]]=""),"",Table5[[#This Row],[$ TB/year]]+Table5[[#This Row],[Energy$yearPerTB]])</f>
        <v>8.0724347200000004</v>
      </c>
      <c r="AC116" s="155">
        <v>34</v>
      </c>
      <c r="AD116" s="156">
        <v>35</v>
      </c>
      <c r="AE116" s="151"/>
    </row>
    <row r="117" spans="1:31" x14ac:dyDescent="0.25">
      <c r="A117" s="1">
        <v>43579</v>
      </c>
      <c r="B117" t="s">
        <v>41</v>
      </c>
      <c r="C117" s="95" t="s">
        <v>42</v>
      </c>
      <c r="D117" s="106" t="s">
        <v>49</v>
      </c>
      <c r="E117" s="81">
        <v>3.5</v>
      </c>
      <c r="F117" s="69">
        <v>12</v>
      </c>
      <c r="G117" s="42">
        <v>7200</v>
      </c>
      <c r="H117" s="5">
        <v>4.17</v>
      </c>
      <c r="I117" s="5"/>
      <c r="J117" s="61">
        <f>(Table5[[#This Row],[RPM]]/5400-1)</f>
        <v>0.33333333333333326</v>
      </c>
      <c r="K117" s="45">
        <v>253</v>
      </c>
      <c r="L117">
        <v>3</v>
      </c>
      <c r="M117" s="36"/>
      <c r="N117">
        <v>180</v>
      </c>
      <c r="O117" s="36">
        <v>1000000</v>
      </c>
      <c r="P117" s="35">
        <f t="shared" si="15"/>
        <v>100000000000000</v>
      </c>
      <c r="Q117" s="53"/>
      <c r="R117" s="5">
        <v>6.13</v>
      </c>
      <c r="S117" s="5">
        <v>3.78</v>
      </c>
      <c r="T117" s="107"/>
      <c r="U117" s="110">
        <f>(((Table5[[#This Row],[Watts Active]]*Power_On_Hours_Year/1000)*Active_Duty_Cycle)+((Table5[[#This Row],[Watts Idle]]*Power_On_Hours_Year/1000)*(100%-Active_Duty_Cycle)))*CostPerKWH</f>
        <v>4.6568100000000001</v>
      </c>
      <c r="V117" s="141">
        <f>Table5[Energy$year]/Table5[[#This Row],[SizTB]]</f>
        <v>0.38806750000000001</v>
      </c>
      <c r="W117" s="140">
        <v>399.99</v>
      </c>
      <c r="X117" s="6">
        <f>IF(Table5[[#This Row],[Cost]],Table5[[#This Row],[Cost]]/Table5[[#This Row],[SizTB]]*Exchange_Rate,"")</f>
        <v>33.332500000000003</v>
      </c>
      <c r="Y117" s="145">
        <f>Table5[[#This Row],[Cost]]+((CompareWarrYrs-Table5[[#This Row],[Warranty]])*(Incremental_Warr_Yr*Table5[[#This Row],[Cost]]))*Exchange_Rate</f>
        <v>487.98779999999999</v>
      </c>
      <c r="Z117" s="6">
        <f>IF(Table5[[#This Row],[$+Warr]],Table5[[#This Row],[$+Warr]]/Table5[[#This Row],[SizTB]],"")</f>
        <v>40.665649999999999</v>
      </c>
      <c r="AA117" s="6">
        <f>IFERROR(Table5[[#This Row],[$PerTB]]/CompareWarrYrs,"")</f>
        <v>8.1331299999999995</v>
      </c>
      <c r="AB117" s="6">
        <f>IF(OR(Table5[[#This Row],[$ TB/year]]="",Table5[[#This Row],[Energy$yearPerTB]]=""),"",Table5[[#This Row],[$ TB/year]]+Table5[[#This Row],[Energy$yearPerTB]])</f>
        <v>8.5211974999999995</v>
      </c>
      <c r="AC117" s="155">
        <v>34</v>
      </c>
      <c r="AD117" s="156">
        <v>35</v>
      </c>
      <c r="AE117" s="151" t="s">
        <v>37</v>
      </c>
    </row>
    <row r="118" spans="1:31" x14ac:dyDescent="0.25">
      <c r="A118" s="1">
        <v>43579</v>
      </c>
      <c r="B118" t="s">
        <v>41</v>
      </c>
      <c r="C118" s="95" t="s">
        <v>42</v>
      </c>
      <c r="D118" s="106" t="s">
        <v>49</v>
      </c>
      <c r="E118" s="81">
        <v>3.5</v>
      </c>
      <c r="F118" s="69">
        <v>14</v>
      </c>
      <c r="G118" s="42">
        <v>7200</v>
      </c>
      <c r="H118" s="5">
        <v>4.17</v>
      </c>
      <c r="I118" s="5"/>
      <c r="J118" s="61">
        <f>(Table5[[#This Row],[RPM]]/5400-1)</f>
        <v>0.33333333333333326</v>
      </c>
      <c r="K118" s="45">
        <v>260</v>
      </c>
      <c r="L118">
        <v>3</v>
      </c>
      <c r="M118" s="36"/>
      <c r="N118">
        <v>180</v>
      </c>
      <c r="O118" s="36">
        <v>1000000</v>
      </c>
      <c r="P118" s="35">
        <f t="shared" si="15"/>
        <v>100000000000000</v>
      </c>
      <c r="Q118" s="53"/>
      <c r="R118" s="5">
        <v>6.65</v>
      </c>
      <c r="S118" s="5">
        <v>4.2699999999999996</v>
      </c>
      <c r="T118" s="107"/>
      <c r="U118" s="110">
        <f>(((Table5[[#This Row],[Watts Active]]*Power_On_Hours_Year/1000)*Active_Duty_Cycle)+((Table5[[#This Row],[Watts Idle]]*Power_On_Hours_Year/1000)*(100%-Active_Duty_Cycle)))*CostPerKWH</f>
        <v>5.2002871200000005</v>
      </c>
      <c r="V118" s="141">
        <f>Table5[Energy$year]/Table5[[#This Row],[SizTB]]</f>
        <v>0.37144908000000004</v>
      </c>
      <c r="W118" s="140">
        <v>499.99</v>
      </c>
      <c r="X118" s="6">
        <f>IF(Table5[[#This Row],[Cost]],Table5[[#This Row],[Cost]]/Table5[[#This Row],[SizTB]]*Exchange_Rate,"")</f>
        <v>35.713571428571427</v>
      </c>
      <c r="Y118" s="145">
        <f>Table5[[#This Row],[Cost]]+((CompareWarrYrs-Table5[[#This Row],[Warranty]])*(Incremental_Warr_Yr*Table5[[#This Row],[Cost]]))*Exchange_Rate</f>
        <v>609.98779999999999</v>
      </c>
      <c r="Z118" s="6">
        <f>IF(Table5[[#This Row],[$+Warr]],Table5[[#This Row],[$+Warr]]/Table5[[#This Row],[SizTB]],"")</f>
        <v>43.57055714285714</v>
      </c>
      <c r="AA118" s="6">
        <f>IFERROR(Table5[[#This Row],[$PerTB]]/CompareWarrYrs,"")</f>
        <v>8.7141114285714281</v>
      </c>
      <c r="AB118" s="6">
        <f>IF(OR(Table5[[#This Row],[$ TB/year]]="",Table5[[#This Row],[Energy$yearPerTB]]=""),"",Table5[[#This Row],[$ TB/year]]+Table5[[#This Row],[Energy$yearPerTB]])</f>
        <v>9.0855605085714277</v>
      </c>
      <c r="AC118" s="155">
        <v>34</v>
      </c>
      <c r="AD118" s="156">
        <v>35</v>
      </c>
      <c r="AE118" s="151" t="s">
        <v>37</v>
      </c>
    </row>
    <row r="119" spans="1:31" x14ac:dyDescent="0.25">
      <c r="A119" s="1">
        <v>43581</v>
      </c>
      <c r="B119" t="s">
        <v>41</v>
      </c>
      <c r="C119" s="95" t="s">
        <v>54</v>
      </c>
      <c r="D119" s="27" t="s">
        <v>125</v>
      </c>
      <c r="E119" s="81">
        <v>3.5</v>
      </c>
      <c r="F119" s="69">
        <v>1</v>
      </c>
      <c r="G119" s="42">
        <v>7200</v>
      </c>
      <c r="H119" s="5">
        <v>4.17</v>
      </c>
      <c r="I119" s="5"/>
      <c r="J119" s="61">
        <f>(Table5[[#This Row],[RPM]]/5400-1)</f>
        <v>0.33333333333333326</v>
      </c>
      <c r="K119" s="45"/>
      <c r="L119">
        <v>2</v>
      </c>
      <c r="M119" s="36"/>
      <c r="O119" s="36"/>
      <c r="P119" s="35">
        <f t="shared" si="15"/>
        <v>100000000000000</v>
      </c>
      <c r="Q119" s="53"/>
      <c r="R119" s="5">
        <v>6.4</v>
      </c>
      <c r="S119" s="5">
        <v>3.7</v>
      </c>
      <c r="T119" s="107"/>
      <c r="U119" s="110">
        <f>(((Table5[[#This Row],[Watts Active]]*Power_On_Hours_Year/1000)*Active_Duty_Cycle)+((Table5[[#This Row],[Watts Idle]]*Power_On_Hours_Year/1000)*(100%-Active_Duty_Cycle)))*CostPerKWH</f>
        <v>4.6458528000000001</v>
      </c>
      <c r="V119" s="141">
        <f>Table5[Energy$year]/Table5[[#This Row],[SizTB]]</f>
        <v>4.6458528000000001</v>
      </c>
      <c r="W119" s="140">
        <v>49.99</v>
      </c>
      <c r="X119" s="6">
        <f>IF(Table5[[#This Row],[Cost]],Table5[[#This Row],[Cost]]/Table5[[#This Row],[SizTB]]*Exchange_Rate,"")</f>
        <v>49.99</v>
      </c>
      <c r="Y119" s="145">
        <f>Table5[[#This Row],[Cost]]+((CompareWarrYrs-Table5[[#This Row],[Warranty]])*(Incremental_Warr_Yr*Table5[[#This Row],[Cost]]))*Exchange_Rate</f>
        <v>66.486699999999999</v>
      </c>
      <c r="Z119" s="6">
        <f>IF(Table5[[#This Row],[$+Warr]],Table5[[#This Row],[$+Warr]]/Table5[[#This Row],[SizTB]],"")</f>
        <v>66.486699999999999</v>
      </c>
      <c r="AA119" s="6">
        <f>Table5[[#This Row],[$PerTB]]/CompareWarrYrs</f>
        <v>13.29734</v>
      </c>
      <c r="AB119" s="6">
        <f>IF(OR(Table5[[#This Row],[$ TB/year]]="",Table5[[#This Row],[Energy$yearPerTB]]=""),"",Table5[[#This Row],[$ TB/year]]+Table5[[#This Row],[Energy$yearPerTB]])</f>
        <v>17.943192799999998</v>
      </c>
      <c r="AC119" s="155">
        <v>24</v>
      </c>
      <c r="AD119" s="156">
        <v>26</v>
      </c>
      <c r="AE119" s="151"/>
    </row>
    <row r="120" spans="1:31" x14ac:dyDescent="0.25">
      <c r="A120" s="1">
        <v>43339</v>
      </c>
      <c r="B120" t="s">
        <v>41</v>
      </c>
      <c r="C120" s="95" t="s">
        <v>54</v>
      </c>
      <c r="D120" s="106" t="s">
        <v>125</v>
      </c>
      <c r="E120" s="81">
        <v>3.5</v>
      </c>
      <c r="F120" s="69">
        <v>2</v>
      </c>
      <c r="G120" s="42">
        <v>7200</v>
      </c>
      <c r="H120" s="5">
        <v>4.17</v>
      </c>
      <c r="I120" s="5"/>
      <c r="J120" s="61">
        <f>(Table5[[#This Row],[RPM]]/5400-1)</f>
        <v>0.33333333333333326</v>
      </c>
      <c r="K120" s="45"/>
      <c r="L120">
        <v>2</v>
      </c>
      <c r="M120" s="36"/>
      <c r="O120" s="36"/>
      <c r="P120" s="35">
        <f t="shared" si="15"/>
        <v>100000000000000</v>
      </c>
      <c r="Q120" s="53"/>
      <c r="R120" s="5">
        <v>6.4</v>
      </c>
      <c r="S120" s="5">
        <v>5.2</v>
      </c>
      <c r="T120" s="107"/>
      <c r="U120" s="110">
        <f>(((Table5[[#This Row],[Watts Active]]*Power_On_Hours_Year/1000)*Active_Duty_Cycle)+((Table5[[#This Row],[Watts Idle]]*Power_On_Hours_Year/1000)*(100%-Active_Duty_Cycle)))*CostPerKWH</f>
        <v>5.960716800000001</v>
      </c>
      <c r="V120" s="141">
        <f>Table5[Energy$year]/Table5[[#This Row],[SizTB]]</f>
        <v>2.9803584000000005</v>
      </c>
      <c r="W120" s="140">
        <v>48.99</v>
      </c>
      <c r="X120" s="6">
        <f>IF(Table5[[#This Row],[Cost]],Table5[[#This Row],[Cost]]/Table5[[#This Row],[SizTB]]*Exchange_Rate,"")</f>
        <v>24.495000000000001</v>
      </c>
      <c r="Y120" s="145">
        <f>Table5[[#This Row],[Cost]]+((CompareWarrYrs-Table5[[#This Row],[Warranty]])*(Incremental_Warr_Yr*Table5[[#This Row],[Cost]]))*Exchange_Rate</f>
        <v>65.156700000000001</v>
      </c>
      <c r="Z120" s="6">
        <f>IF(Table5[[#This Row],[$+Warr]],Table5[[#This Row],[$+Warr]]/Table5[[#This Row],[SizTB]],"")</f>
        <v>32.57835</v>
      </c>
      <c r="AA120" s="6">
        <f>Table5[[#This Row],[$PerTB]]/CompareWarrYrs</f>
        <v>6.5156700000000001</v>
      </c>
      <c r="AB120" s="6">
        <f>IF(OR(Table5[[#This Row],[$ TB/year]]="",Table5[[#This Row],[Energy$yearPerTB]]=""),"",Table5[[#This Row],[$ TB/year]]+Table5[[#This Row],[Energy$yearPerTB]])</f>
        <v>9.4960284000000001</v>
      </c>
      <c r="AC120" s="155">
        <v>27</v>
      </c>
      <c r="AD120" s="156">
        <v>28</v>
      </c>
      <c r="AE120" s="151"/>
    </row>
    <row r="121" spans="1:31" x14ac:dyDescent="0.25">
      <c r="A121" s="1">
        <v>43579</v>
      </c>
      <c r="B121" t="s">
        <v>41</v>
      </c>
      <c r="C121" s="95" t="s">
        <v>54</v>
      </c>
      <c r="D121" s="106" t="s">
        <v>125</v>
      </c>
      <c r="E121" s="81">
        <v>3.5</v>
      </c>
      <c r="F121" s="69">
        <v>3</v>
      </c>
      <c r="G121" s="42">
        <v>7200</v>
      </c>
      <c r="H121" s="5">
        <v>4.17</v>
      </c>
      <c r="I121" s="5"/>
      <c r="J121" s="61">
        <f>(Table5[[#This Row],[RPM]]/5400-1)</f>
        <v>0.33333333333333326</v>
      </c>
      <c r="K121" s="45"/>
      <c r="L121">
        <v>2</v>
      </c>
      <c r="M121" s="36"/>
      <c r="O121" s="36"/>
      <c r="P121" s="35">
        <f t="shared" si="15"/>
        <v>100000000000000</v>
      </c>
      <c r="Q121" s="53"/>
      <c r="R121" s="5">
        <v>6.4</v>
      </c>
      <c r="S121" s="5">
        <v>5.2</v>
      </c>
      <c r="T121" s="107"/>
      <c r="U121" s="110">
        <f>(((Table5[[#This Row],[Watts Active]]*Power_On_Hours_Year/1000)*Active_Duty_Cycle)+((Table5[[#This Row],[Watts Idle]]*Power_On_Hours_Year/1000)*(100%-Active_Duty_Cycle)))*CostPerKWH</f>
        <v>5.960716800000001</v>
      </c>
      <c r="V121" s="141">
        <f>Table5[Energy$year]/Table5[[#This Row],[SizTB]]</f>
        <v>1.9869056000000003</v>
      </c>
      <c r="W121" s="140">
        <v>89.99</v>
      </c>
      <c r="X121" s="6">
        <f>IF(Table5[[#This Row],[Cost]],Table5[[#This Row],[Cost]]/Table5[[#This Row],[SizTB]]*Exchange_Rate,"")</f>
        <v>29.996666666666666</v>
      </c>
      <c r="Y121" s="145">
        <f>Table5[[#This Row],[Cost]]+((CompareWarrYrs-Table5[[#This Row],[Warranty]])*(Incremental_Warr_Yr*Table5[[#This Row],[Cost]]))*Exchange_Rate</f>
        <v>119.6867</v>
      </c>
      <c r="Z121" s="6">
        <f>IF(Table5[[#This Row],[$+Warr]],Table5[[#This Row],[$+Warr]]/Table5[[#This Row],[SizTB]],"")</f>
        <v>39.895566666666667</v>
      </c>
      <c r="AA121" s="6">
        <f>Table5[[#This Row],[$PerTB]]/CompareWarrYrs</f>
        <v>7.9791133333333333</v>
      </c>
      <c r="AB121" s="6">
        <f>IF(OR(Table5[[#This Row],[$ TB/year]]="",Table5[[#This Row],[Energy$yearPerTB]]=""),"",Table5[[#This Row],[$ TB/year]]+Table5[[#This Row],[Energy$yearPerTB]])</f>
        <v>9.9660189333333342</v>
      </c>
      <c r="AC121" s="155">
        <v>27</v>
      </c>
      <c r="AD121" s="156">
        <v>28</v>
      </c>
      <c r="AE121" s="151"/>
    </row>
    <row r="122" spans="1:31" x14ac:dyDescent="0.25">
      <c r="A122" s="1">
        <v>43579</v>
      </c>
      <c r="B122" t="s">
        <v>41</v>
      </c>
      <c r="C122" s="95" t="s">
        <v>65</v>
      </c>
      <c r="D122" s="106" t="s">
        <v>125</v>
      </c>
      <c r="E122" s="81">
        <v>3.5</v>
      </c>
      <c r="F122" s="69">
        <v>4</v>
      </c>
      <c r="G122" s="42">
        <v>7200</v>
      </c>
      <c r="H122" s="5">
        <v>4.17</v>
      </c>
      <c r="I122" s="5"/>
      <c r="J122" s="61">
        <f>(Table5[[#This Row],[RPM]]/5400-1)</f>
        <v>0.33333333333333326</v>
      </c>
      <c r="K122" s="45"/>
      <c r="L122">
        <v>2</v>
      </c>
      <c r="M122" s="36">
        <v>600000</v>
      </c>
      <c r="O122" s="36"/>
      <c r="P122" s="35">
        <f t="shared" ref="P122:P127" si="18">10^14</f>
        <v>100000000000000</v>
      </c>
      <c r="Q122" s="53"/>
      <c r="R122" s="5">
        <v>11.3</v>
      </c>
      <c r="S122" s="5">
        <v>7.5</v>
      </c>
      <c r="T122" s="107"/>
      <c r="U122" s="110">
        <f>(((Table5[[#This Row],[Watts Active]]*Power_On_Hours_Year/1000)*Active_Duty_Cycle)+((Table5[[#This Row],[Watts Idle]]*Power_On_Hours_Year/1000)*(100%-Active_Duty_Cycle)))*CostPerKWH</f>
        <v>9.0506472000000002</v>
      </c>
      <c r="V122" s="141">
        <f>Table5[Energy$year]/Table5[[#This Row],[SizTB]]</f>
        <v>2.2626618000000001</v>
      </c>
      <c r="W122" s="140">
        <v>114.02</v>
      </c>
      <c r="X122" s="6">
        <f>IF(Table5[[#This Row],[Cost]],Table5[[#This Row],[Cost]]/Table5[[#This Row],[SizTB]]*Exchange_Rate,"")</f>
        <v>28.504999999999999</v>
      </c>
      <c r="Y122" s="145">
        <f>Table5[[#This Row],[Cost]]+((CompareWarrYrs-Table5[[#This Row],[Warranty]])*(Incremental_Warr_Yr*Table5[[#This Row],[Cost]]))*Exchange_Rate</f>
        <v>151.64659999999998</v>
      </c>
      <c r="Z122" s="6">
        <f>IF(Table5[[#This Row],[$+Warr]],Table5[[#This Row],[$+Warr]]/Table5[[#This Row],[SizTB]],"")</f>
        <v>37.911649999999995</v>
      </c>
      <c r="AA122" s="6">
        <f>Table5[[#This Row],[$PerTB]]/CompareWarrYrs</f>
        <v>7.5823299999999989</v>
      </c>
      <c r="AB122" s="6">
        <f>IF(OR(Table5[[#This Row],[$ TB/year]]="",Table5[[#This Row],[Energy$yearPerTB]]=""),"",Table5[[#This Row],[$ TB/year]]+Table5[[#This Row],[Energy$yearPerTB]])</f>
        <v>9.844991799999999</v>
      </c>
      <c r="AC122" s="155">
        <v>31</v>
      </c>
      <c r="AD122" s="156"/>
      <c r="AE122" s="151"/>
    </row>
    <row r="123" spans="1:31" x14ac:dyDescent="0.25">
      <c r="A123" s="1">
        <v>43579</v>
      </c>
      <c r="B123" t="s">
        <v>41</v>
      </c>
      <c r="C123" s="95" t="s">
        <v>65</v>
      </c>
      <c r="D123" s="106" t="s">
        <v>125</v>
      </c>
      <c r="E123" s="81">
        <v>3.5</v>
      </c>
      <c r="F123" s="69">
        <v>5</v>
      </c>
      <c r="G123" s="42">
        <v>7200</v>
      </c>
      <c r="H123" s="5">
        <v>4.17</v>
      </c>
      <c r="I123" s="5"/>
      <c r="J123" s="61">
        <f>(Table5[[#This Row],[RPM]]/5400-1)</f>
        <v>0.33333333333333326</v>
      </c>
      <c r="K123" s="45"/>
      <c r="L123">
        <v>2</v>
      </c>
      <c r="M123" s="36">
        <v>600000</v>
      </c>
      <c r="O123" s="36"/>
      <c r="P123" s="35">
        <f t="shared" si="18"/>
        <v>100000000000000</v>
      </c>
      <c r="Q123" s="53"/>
      <c r="R123" s="5">
        <v>11.3</v>
      </c>
      <c r="S123" s="5">
        <v>7.5</v>
      </c>
      <c r="T123" s="107"/>
      <c r="U123" s="110">
        <f>(((Table5[[#This Row],[Watts Active]]*Power_On_Hours_Year/1000)*Active_Duty_Cycle)+((Table5[[#This Row],[Watts Idle]]*Power_On_Hours_Year/1000)*(100%-Active_Duty_Cycle)))*CostPerKWH</f>
        <v>9.0506472000000002</v>
      </c>
      <c r="V123" s="141">
        <f>Table5[Energy$year]/Table5[[#This Row],[SizTB]]</f>
        <v>1.8101294400000001</v>
      </c>
      <c r="W123" s="140">
        <v>109.99</v>
      </c>
      <c r="X123" s="6">
        <f>IF(Table5[[#This Row],[Cost]],Table5[[#This Row],[Cost]]/Table5[[#This Row],[SizTB]]*Exchange_Rate,"")</f>
        <v>21.997999999999998</v>
      </c>
      <c r="Y123" s="145">
        <f>Table5[[#This Row],[Cost]]+((CompareWarrYrs-Table5[[#This Row],[Warranty]])*(Incremental_Warr_Yr*Table5[[#This Row],[Cost]]))*Exchange_Rate</f>
        <v>146.2867</v>
      </c>
      <c r="Z123" s="6">
        <f>IF(Table5[[#This Row],[$+Warr]],Table5[[#This Row],[$+Warr]]/Table5[[#This Row],[SizTB]],"")</f>
        <v>29.257339999999999</v>
      </c>
      <c r="AA123" s="6">
        <f>Table5[[#This Row],[$PerTB]]/CompareWarrYrs</f>
        <v>5.8514679999999997</v>
      </c>
      <c r="AB123" s="6">
        <f>IF(OR(Table5[[#This Row],[$ TB/year]]="",Table5[[#This Row],[Energy$yearPerTB]]=""),"",Table5[[#This Row],[$ TB/year]]+Table5[[#This Row],[Energy$yearPerTB]])</f>
        <v>7.6615974399999995</v>
      </c>
      <c r="AC123" s="155">
        <v>31</v>
      </c>
      <c r="AD123" s="156"/>
      <c r="AE123" s="151"/>
    </row>
    <row r="124" spans="1:31" x14ac:dyDescent="0.25">
      <c r="A124" s="1">
        <v>43579</v>
      </c>
      <c r="B124" t="s">
        <v>41</v>
      </c>
      <c r="C124" s="95" t="s">
        <v>65</v>
      </c>
      <c r="D124" s="106" t="s">
        <v>125</v>
      </c>
      <c r="E124" s="81">
        <v>3.5</v>
      </c>
      <c r="F124" s="69">
        <v>6</v>
      </c>
      <c r="G124" s="42">
        <v>7200</v>
      </c>
      <c r="H124" s="5">
        <v>4.17</v>
      </c>
      <c r="I124" s="5"/>
      <c r="J124" s="61">
        <f>(Table5[[#This Row],[RPM]]/5400-1)</f>
        <v>0.33333333333333326</v>
      </c>
      <c r="K124" s="45"/>
      <c r="L124">
        <v>2</v>
      </c>
      <c r="M124" s="36">
        <v>600000</v>
      </c>
      <c r="O124" s="36"/>
      <c r="P124" s="35">
        <f t="shared" si="18"/>
        <v>100000000000000</v>
      </c>
      <c r="Q124" s="53"/>
      <c r="R124" s="5">
        <v>11.3</v>
      </c>
      <c r="S124" s="5">
        <v>7.5</v>
      </c>
      <c r="T124" s="107"/>
      <c r="U124" s="110">
        <f>(((Table5[[#This Row],[Watts Active]]*Power_On_Hours_Year/1000)*Active_Duty_Cycle)+((Table5[[#This Row],[Watts Idle]]*Power_On_Hours_Year/1000)*(100%-Active_Duty_Cycle)))*CostPerKWH</f>
        <v>9.0506472000000002</v>
      </c>
      <c r="V124" s="141">
        <f>Table5[Energy$year]/Table5[[#This Row],[SizTB]]</f>
        <v>1.5084412</v>
      </c>
      <c r="W124" s="140">
        <v>171.32</v>
      </c>
      <c r="X124" s="6">
        <f>IF(Table5[[#This Row],[Cost]],Table5[[#This Row],[Cost]]/Table5[[#This Row],[SizTB]]*Exchange_Rate,"")</f>
        <v>28.553333333333331</v>
      </c>
      <c r="Y124" s="145">
        <f>Table5[[#This Row],[Cost]]+((CompareWarrYrs-Table5[[#This Row],[Warranty]])*(Incremental_Warr_Yr*Table5[[#This Row],[Cost]]))*Exchange_Rate</f>
        <v>227.85559999999998</v>
      </c>
      <c r="Z124" s="6">
        <f>IF(Table5[[#This Row],[$+Warr]],Table5[[#This Row],[$+Warr]]/Table5[[#This Row],[SizTB]],"")</f>
        <v>37.97593333333333</v>
      </c>
      <c r="AA124" s="6">
        <f>Table5[[#This Row],[$PerTB]]/CompareWarrYrs</f>
        <v>7.5951866666666659</v>
      </c>
      <c r="AB124" s="6">
        <f>IF(OR(Table5[[#This Row],[$ TB/year]]="",Table5[[#This Row],[Energy$yearPerTB]]=""),"",Table5[[#This Row],[$ TB/year]]+Table5[[#This Row],[Energy$yearPerTB]])</f>
        <v>9.1036278666666668</v>
      </c>
      <c r="AC124" s="155">
        <v>34</v>
      </c>
      <c r="AD124" s="156"/>
      <c r="AE124" s="151"/>
    </row>
    <row r="125" spans="1:31" x14ac:dyDescent="0.25">
      <c r="A125" s="103">
        <v>43580</v>
      </c>
      <c r="B125" s="7" t="s">
        <v>41</v>
      </c>
      <c r="C125" s="104" t="s">
        <v>65</v>
      </c>
      <c r="D125" s="82" t="s">
        <v>125</v>
      </c>
      <c r="E125" s="69">
        <v>3.5</v>
      </c>
      <c r="F125" s="69">
        <v>8</v>
      </c>
      <c r="G125" s="42">
        <v>7200</v>
      </c>
      <c r="H125" s="5">
        <v>4.17</v>
      </c>
      <c r="I125" s="5"/>
      <c r="J125" s="61">
        <v>0.33333333333333326</v>
      </c>
      <c r="K125" s="45"/>
      <c r="L125" s="7">
        <v>2</v>
      </c>
      <c r="M125" s="105">
        <v>600000</v>
      </c>
      <c r="N125" s="7"/>
      <c r="O125" s="105"/>
      <c r="P125" s="173">
        <v>100000000000000</v>
      </c>
      <c r="Q125" s="53"/>
      <c r="R125" s="5">
        <v>9.1999999999999993</v>
      </c>
      <c r="S125" s="5">
        <v>6.2</v>
      </c>
      <c r="T125" s="107"/>
      <c r="U125" s="110">
        <v>7.7357832000000002</v>
      </c>
      <c r="V125" s="141">
        <v>0.96697290000000002</v>
      </c>
      <c r="W125" s="140">
        <f>214.99-15</f>
        <v>199.99</v>
      </c>
      <c r="X125" s="6">
        <f>IF(Table5[[#This Row],[Cost]],Table5[[#This Row],[Cost]]/Table5[[#This Row],[SizTB]]*Exchange_Rate,"")</f>
        <v>24.998750000000001</v>
      </c>
      <c r="Y125" s="145">
        <v>327.16669999999999</v>
      </c>
      <c r="Z125" s="6">
        <f>IF(Table5[[#This Row],[$+Warr]],Table5[[#This Row],[$+Warr]]/Table5[[#This Row],[SizTB]],"")</f>
        <v>40.895837499999999</v>
      </c>
      <c r="AA125" s="6">
        <v>8.1791675000000001</v>
      </c>
      <c r="AB125" s="6">
        <f>IF(OR(Table5[[#This Row],[$ TB/year]]="",Table5[[#This Row],[Energy$yearPerTB]]=""),"",Table5[[#This Row],[$ TB/year]]+Table5[[#This Row],[Energy$yearPerTB]])</f>
        <v>9.1461404000000002</v>
      </c>
      <c r="AC125" s="155">
        <v>34</v>
      </c>
      <c r="AD125" s="156"/>
      <c r="AE125" s="40"/>
    </row>
    <row r="126" spans="1:31" x14ac:dyDescent="0.25">
      <c r="A126" s="103">
        <v>43580</v>
      </c>
      <c r="B126" s="7" t="s">
        <v>41</v>
      </c>
      <c r="C126" s="104" t="s">
        <v>65</v>
      </c>
      <c r="D126" s="82" t="s">
        <v>125</v>
      </c>
      <c r="E126" s="69">
        <v>3.5</v>
      </c>
      <c r="F126" s="69">
        <v>10</v>
      </c>
      <c r="G126" s="42">
        <v>7200</v>
      </c>
      <c r="H126" s="5">
        <v>4.17</v>
      </c>
      <c r="I126" s="5"/>
      <c r="J126" s="61">
        <v>0.33333333333333326</v>
      </c>
      <c r="K126" s="45"/>
      <c r="L126" s="7">
        <v>2</v>
      </c>
      <c r="M126" s="105">
        <v>600000</v>
      </c>
      <c r="N126" s="7"/>
      <c r="O126" s="105"/>
      <c r="P126" s="173">
        <v>100000000000000</v>
      </c>
      <c r="Q126" s="53"/>
      <c r="R126" s="5">
        <v>9.92</v>
      </c>
      <c r="S126" s="5">
        <v>7.22</v>
      </c>
      <c r="T126" s="107"/>
      <c r="U126" s="110">
        <v>7.7357832000000002</v>
      </c>
      <c r="V126" s="141">
        <v>0.96697290000000002</v>
      </c>
      <c r="W126" s="140">
        <f>324.99-15</f>
        <v>309.99</v>
      </c>
      <c r="X126" s="6">
        <f>IF(Table5[[#This Row],[Cost]],Table5[[#This Row],[Cost]]/Table5[[#This Row],[SizTB]]*Exchange_Rate,"")</f>
        <v>30.999000000000002</v>
      </c>
      <c r="Y126" s="145">
        <v>327.16669999999999</v>
      </c>
      <c r="Z126" s="6">
        <f>IF(Table5[[#This Row],[$+Warr]],Table5[[#This Row],[$+Warr]]/Table5[[#This Row],[SizTB]],"")</f>
        <v>32.716670000000001</v>
      </c>
      <c r="AA126" s="6">
        <v>8.1791675000000001</v>
      </c>
      <c r="AB126" s="6">
        <f>IF(OR(Table5[[#This Row],[$ TB/year]]="",Table5[[#This Row],[Energy$yearPerTB]]=""),"",Table5[[#This Row],[$ TB/year]]+Table5[[#This Row],[Energy$yearPerTB]])</f>
        <v>9.1461404000000002</v>
      </c>
      <c r="AC126" s="155">
        <v>34</v>
      </c>
      <c r="AD126" s="156"/>
      <c r="AE126" s="40"/>
    </row>
    <row r="127" spans="1:31" x14ac:dyDescent="0.25">
      <c r="A127" s="103">
        <v>43531</v>
      </c>
      <c r="B127" s="7" t="s">
        <v>41</v>
      </c>
      <c r="C127" s="104" t="s">
        <v>65</v>
      </c>
      <c r="D127" s="82" t="s">
        <v>125</v>
      </c>
      <c r="E127" s="69">
        <v>3.5</v>
      </c>
      <c r="F127" s="69">
        <v>12</v>
      </c>
      <c r="G127" s="42">
        <v>7200</v>
      </c>
      <c r="H127" s="5">
        <v>4.17</v>
      </c>
      <c r="I127" s="5"/>
      <c r="J127" s="61">
        <f>(Table5[[#This Row],[RPM]]/5400-1)</f>
        <v>0.33333333333333326</v>
      </c>
      <c r="K127" s="45"/>
      <c r="L127" s="7">
        <v>2</v>
      </c>
      <c r="M127" s="105">
        <v>600000</v>
      </c>
      <c r="N127" s="7"/>
      <c r="O127" s="105"/>
      <c r="P127" s="173">
        <f t="shared" si="18"/>
        <v>100000000000000</v>
      </c>
      <c r="Q127" s="53"/>
      <c r="R127" s="5">
        <v>6.77</v>
      </c>
      <c r="S127" s="5">
        <v>4.54</v>
      </c>
      <c r="T127" s="107"/>
      <c r="U127" s="110">
        <f>(((Table5[[#This Row],[Watts Active]]*Power_On_Hours_Year/1000)*Active_Duty_Cycle)+((Table5[[#This Row],[Watts Idle]]*Power_On_Hours_Year/1000)*(100%-Active_Duty_Cycle)))*CostPerKWH</f>
        <v>5.4632599200000005</v>
      </c>
      <c r="V127" s="110">
        <f>Table5[Energy$year]/Table5[[#This Row],[SizTB]]</f>
        <v>0.45527166000000002</v>
      </c>
      <c r="W127" s="230">
        <v>399.99</v>
      </c>
      <c r="X127" s="193">
        <f>IF(Table5[[#This Row],[Cost]],Table5[[#This Row],[Cost]]/Table5[[#This Row],[SizTB]]*Exchange_Rate,"")</f>
        <v>33.332500000000003</v>
      </c>
      <c r="Y127" s="145">
        <f>Table5[[#This Row],[Cost]]+((CompareWarrYrs-Table5[[#This Row],[Warranty]])*(Incremental_Warr_Yr*Table5[[#This Row],[Cost]]))*Exchange_Rate</f>
        <v>531.98670000000004</v>
      </c>
      <c r="Z127" s="6">
        <f>IF(Table5[[#This Row],[$+Warr]],Table5[[#This Row],[$+Warr]]/Table5[[#This Row],[SizTB]],"")</f>
        <v>44.332225000000001</v>
      </c>
      <c r="AA127" s="6">
        <f>Table5[[#This Row],[$PerTB]]/CompareWarrYrs</f>
        <v>8.8664450000000006</v>
      </c>
      <c r="AB127" s="193">
        <f>IF(OR(Table5[[#This Row],[$ TB/year]]="",Table5[[#This Row],[Energy$yearPerTB]]=""),"",Table5[[#This Row],[$ TB/year]]+Table5[[#This Row],[Energy$yearPerTB]])</f>
        <v>9.3217166599999999</v>
      </c>
      <c r="AC127" s="155">
        <v>20</v>
      </c>
      <c r="AD127" s="156"/>
      <c r="AE127" s="40"/>
    </row>
    <row r="128" spans="1:31" ht="15.75" thickBot="1" x14ac:dyDescent="0.3">
      <c r="A128" s="176">
        <v>43531</v>
      </c>
      <c r="B128" s="175" t="s">
        <v>41</v>
      </c>
      <c r="C128" s="177" t="s">
        <v>65</v>
      </c>
      <c r="D128" s="178" t="s">
        <v>125</v>
      </c>
      <c r="E128" s="179">
        <v>3.5</v>
      </c>
      <c r="F128" s="179">
        <v>14</v>
      </c>
      <c r="G128" s="180">
        <v>7200</v>
      </c>
      <c r="H128" s="136">
        <v>4.17</v>
      </c>
      <c r="I128" s="136"/>
      <c r="J128" s="181">
        <f>(Table5[[#This Row],[RPM]]/5400-1)</f>
        <v>0.33333333333333326</v>
      </c>
      <c r="K128" s="182"/>
      <c r="L128" s="175">
        <v>2</v>
      </c>
      <c r="M128" s="183">
        <v>600000</v>
      </c>
      <c r="N128" s="175"/>
      <c r="O128" s="183"/>
      <c r="P128" s="137">
        <v>100000000000000</v>
      </c>
      <c r="Q128" s="184"/>
      <c r="R128" s="136">
        <v>6.77</v>
      </c>
      <c r="S128" s="136">
        <v>4.54</v>
      </c>
      <c r="T128" s="185"/>
      <c r="U128" s="186">
        <f>(((Table5[[#This Row],[Watts Active]]*Power_On_Hours_Year/1000)*Active_Duty_Cycle)+((Table5[[#This Row],[Watts Idle]]*Power_On_Hours_Year/1000)*(100%-Active_Duty_Cycle)))*CostPerKWH</f>
        <v>5.4632599200000005</v>
      </c>
      <c r="V128" s="142">
        <f>Table5[Energy$year]/Table5[[#This Row],[SizTB]]</f>
        <v>0.39023285142857145</v>
      </c>
      <c r="W128" s="187">
        <v>529.99</v>
      </c>
      <c r="X128" s="174">
        <f>IF(Table5[[#This Row],[Cost]],Table5[[#This Row],[Cost]]/Table5[[#This Row],[SizTB]]*Exchange_Rate,"")</f>
        <v>37.856428571428573</v>
      </c>
      <c r="Y128" s="149">
        <f>Table5[[#This Row],[Cost]]+((CompareWarrYrs-Table5[[#This Row],[Warranty]])*(Incremental_Warr_Yr*Table5[[#This Row],[Cost]]))*Exchange_Rate</f>
        <v>704.88670000000002</v>
      </c>
      <c r="Z128" s="148">
        <f>IF(Table5[[#This Row],[$+Warr]],Table5[[#This Row],[$+Warr]]/Table5[[#This Row],[SizTB]],"")</f>
        <v>50.349049999999998</v>
      </c>
      <c r="AA128" s="148">
        <f>Table5[[#This Row],[$PerTB]]/CompareWarrYrs</f>
        <v>10.06981</v>
      </c>
      <c r="AB128" s="174">
        <f>IF(OR(Table5[[#This Row],[$ TB/year]]="",Table5[[#This Row],[Energy$yearPerTB]]=""),"",Table5[[#This Row],[$ TB/year]]+Table5[[#This Row],[Energy$yearPerTB]])</f>
        <v>10.460042851428572</v>
      </c>
      <c r="AC128" s="164">
        <v>20</v>
      </c>
      <c r="AD128" s="165"/>
      <c r="AE128" s="188"/>
    </row>
    <row r="129" spans="1:31" ht="15.75" thickTop="1" x14ac:dyDescent="0.25">
      <c r="A129" s="1">
        <v>43166</v>
      </c>
      <c r="B129" t="s">
        <v>6</v>
      </c>
      <c r="C129" s="95" t="s">
        <v>79</v>
      </c>
      <c r="D129" s="27" t="s">
        <v>49</v>
      </c>
      <c r="E129" s="81">
        <v>3.5</v>
      </c>
      <c r="F129" s="69">
        <v>6</v>
      </c>
      <c r="G129" s="42">
        <v>5760</v>
      </c>
      <c r="H129" s="5"/>
      <c r="I129" s="5"/>
      <c r="J129" s="61">
        <f>(Table5[[#This Row],[RPM]]/5400-1)</f>
        <v>6.6666666666666652E-2</v>
      </c>
      <c r="K129" s="45">
        <v>150</v>
      </c>
      <c r="L129">
        <v>3</v>
      </c>
      <c r="M129" s="36">
        <v>300000</v>
      </c>
      <c r="O129" s="36">
        <v>500000</v>
      </c>
      <c r="P129" s="35">
        <f t="shared" ref="P129:P134" si="19">10^14</f>
        <v>100000000000000</v>
      </c>
      <c r="Q129" s="53"/>
      <c r="R129" s="5">
        <v>6.5</v>
      </c>
      <c r="S129" s="5">
        <v>4.8</v>
      </c>
      <c r="T129" s="107"/>
      <c r="U129" s="110">
        <f>(((Table5[[#This Row],[Watts Active]]*Power_On_Hours_Year/1000)*Active_Duty_Cycle)+((Table5[[#This Row],[Watts Idle]]*Power_On_Hours_Year/1000)*(100%-Active_Duty_Cycle)))*CostPerKWH</f>
        <v>5.6320008000000001</v>
      </c>
      <c r="V129" s="141">
        <f>Table5[Energy$year]/Table5[[#This Row],[SizTB]]</f>
        <v>0.93866680000000002</v>
      </c>
      <c r="W129" s="140">
        <v>236</v>
      </c>
      <c r="X129" s="6">
        <f>IF(Table5[[#This Row],[Cost]],Table5[[#This Row],[Cost]]/Table5[[#This Row],[SizTB]]*Exchange_Rate,"")</f>
        <v>39.333333333333336</v>
      </c>
      <c r="Y129" s="145">
        <f>Table5[[#This Row],[Cost]]+((CompareWarrYrs-Table5[[#This Row],[Warranty]])*(Incremental_Warr_Yr*Table5[[#This Row],[Cost]]))*Exchange_Rate</f>
        <v>287.92</v>
      </c>
      <c r="Z129" s="6">
        <f>IF(Table5[[#This Row],[$+Warr]],Table5[[#This Row],[$+Warr]]/Table5[[#This Row],[SizTB]],"")</f>
        <v>47.986666666666672</v>
      </c>
      <c r="AA129" s="6">
        <f>Table5[[#This Row],[$PerTB]]/CompareWarrYrs</f>
        <v>9.597333333333335</v>
      </c>
      <c r="AB129" s="6">
        <f>IF(OR(Table5[[#This Row],[$ TB/year]]="",Table5[[#This Row],[Energy$yearPerTB]]=""),"",Table5[[#This Row],[$ TB/year]]+Table5[[#This Row],[Energy$yearPerTB]])</f>
        <v>10.536000133333335</v>
      </c>
      <c r="AC129" s="155"/>
      <c r="AD129" s="156"/>
      <c r="AE129" s="40"/>
    </row>
    <row r="130" spans="1:31" x14ac:dyDescent="0.25">
      <c r="A130" s="1">
        <v>43408</v>
      </c>
      <c r="B130" t="s">
        <v>6</v>
      </c>
      <c r="C130" s="95" t="s">
        <v>5</v>
      </c>
      <c r="D130" s="101" t="s">
        <v>124</v>
      </c>
      <c r="E130" s="81">
        <v>2.5</v>
      </c>
      <c r="F130" s="69">
        <v>1</v>
      </c>
      <c r="G130" s="42">
        <v>7200</v>
      </c>
      <c r="H130" s="5"/>
      <c r="I130" s="5"/>
      <c r="J130" s="61">
        <f>(Table5[[#This Row],[RPM]]/5400-1)</f>
        <v>0.33333333333333326</v>
      </c>
      <c r="K130" s="45"/>
      <c r="L130">
        <v>5</v>
      </c>
      <c r="M130" s="36">
        <v>600000</v>
      </c>
      <c r="O130" s="36"/>
      <c r="P130" s="35">
        <f t="shared" si="19"/>
        <v>100000000000000</v>
      </c>
      <c r="Q130" s="53">
        <f>1.1*5</f>
        <v>5.5</v>
      </c>
      <c r="R130" s="5">
        <v>1.8</v>
      </c>
      <c r="S130" s="5">
        <v>0.8</v>
      </c>
      <c r="T130" s="107">
        <v>0.2</v>
      </c>
      <c r="U130" s="110">
        <f>(((Table5[[#This Row],[Watts Active]]*Power_On_Hours_Year/1000)*Active_Duty_Cycle)+((Table5[[#This Row],[Watts Idle]]*Power_On_Hours_Year/1000)*(100%-Active_Duty_Cycle)))*CostPerKWH</f>
        <v>1.09572</v>
      </c>
      <c r="V130" s="141">
        <f>Table5[Energy$year]/Table5[[#This Row],[SizTB]]</f>
        <v>1.09572</v>
      </c>
      <c r="W130" s="140">
        <v>61.99</v>
      </c>
      <c r="X130" s="6">
        <f>IF(Table5[[#This Row],[Cost]],Table5[[#This Row],[Cost]]/Table5[[#This Row],[SizTB]]*Exchange_Rate,"")</f>
        <v>61.99</v>
      </c>
      <c r="Y130" s="145">
        <f>Table5[[#This Row],[Cost]]+((CompareWarrYrs-Table5[[#This Row],[Warranty]])*(Incremental_Warr_Yr*Table5[[#This Row],[Cost]]))*Exchange_Rate</f>
        <v>61.99</v>
      </c>
      <c r="Z130" s="6">
        <f>IF(Table5[[#This Row],[$+Warr]],Table5[[#This Row],[$+Warr]]/Table5[[#This Row],[SizTB]],"")</f>
        <v>61.99</v>
      </c>
      <c r="AA130" s="6">
        <f>Table5[[#This Row],[$PerTB]]/CompareWarrYrs</f>
        <v>12.398</v>
      </c>
      <c r="AB130" s="6">
        <f>IF(OR(Table5[[#This Row],[$ TB/year]]="",Table5[[#This Row],[Energy$yearPerTB]]=""),"",Table5[[#This Row],[$ TB/year]]+Table5[[#This Row],[Energy$yearPerTB]])</f>
        <v>13.49372</v>
      </c>
      <c r="AC130" s="155">
        <v>25</v>
      </c>
      <c r="AD130" s="156">
        <v>27</v>
      </c>
      <c r="AE130" s="40"/>
    </row>
    <row r="131" spans="1:31" x14ac:dyDescent="0.25">
      <c r="A131" s="1">
        <v>43562</v>
      </c>
      <c r="B131" t="s">
        <v>6</v>
      </c>
      <c r="C131" s="95" t="s">
        <v>5</v>
      </c>
      <c r="D131" s="106" t="s">
        <v>125</v>
      </c>
      <c r="E131" s="81">
        <v>3.5</v>
      </c>
      <c r="F131" s="69">
        <v>1</v>
      </c>
      <c r="G131" s="42">
        <v>7200</v>
      </c>
      <c r="H131" s="5"/>
      <c r="I131" s="5"/>
      <c r="J131" s="61">
        <f>(Table5[[#This Row],[RPM]]/5400-1)</f>
        <v>0.33333333333333326</v>
      </c>
      <c r="K131" s="45">
        <v>150</v>
      </c>
      <c r="L131">
        <v>5</v>
      </c>
      <c r="M131" s="36">
        <v>300000</v>
      </c>
      <c r="O131" s="36"/>
      <c r="P131" s="35">
        <f t="shared" si="19"/>
        <v>100000000000000</v>
      </c>
      <c r="Q131" s="53"/>
      <c r="R131" s="5">
        <v>6.8</v>
      </c>
      <c r="S131" s="5">
        <v>6.1</v>
      </c>
      <c r="T131" s="107">
        <v>0.8</v>
      </c>
      <c r="U131" s="110">
        <f>(((Table5[[#This Row],[Watts Active]]*Power_On_Hours_Year/1000)*Active_Duty_Cycle)+((Table5[[#This Row],[Watts Idle]]*Power_On_Hours_Year/1000)*(100%-Active_Duty_Cycle)))*CostPerKWH</f>
        <v>6.8372928000000002</v>
      </c>
      <c r="V131" s="141">
        <f>Table5[Energy$year]/Table5[[#This Row],[SizTB]]</f>
        <v>6.8372928000000002</v>
      </c>
      <c r="W131" s="140">
        <v>74.989999999999995</v>
      </c>
      <c r="X131" s="6">
        <f>IF(Table5[[#This Row],[Cost]],Table5[[#This Row],[Cost]]/Table5[[#This Row],[SizTB]]*Exchange_Rate,"")</f>
        <v>74.989999999999995</v>
      </c>
      <c r="Y131" s="145">
        <f>Table5[[#This Row],[Cost]]+((CompareWarrYrs-Table5[[#This Row],[Warranty]])*(Incremental_Warr_Yr*Table5[[#This Row],[Cost]]))*Exchange_Rate</f>
        <v>74.989999999999995</v>
      </c>
      <c r="Z131" s="6">
        <f>IF(Table5[[#This Row],[$+Warr]],Table5[[#This Row],[$+Warr]]/Table5[[#This Row],[SizTB]],"")</f>
        <v>74.989999999999995</v>
      </c>
      <c r="AA131" s="6">
        <f>Table5[[#This Row],[$PerTB]]/CompareWarrYrs</f>
        <v>14.997999999999999</v>
      </c>
      <c r="AB131" s="6">
        <f>IF(OR(Table5[[#This Row],[$ TB/year]]="",Table5[[#This Row],[Energy$yearPerTB]]=""),"",Table5[[#This Row],[$ TB/year]]+Table5[[#This Row],[Energy$yearPerTB]])</f>
        <v>21.835292799999998</v>
      </c>
      <c r="AC131" s="155">
        <v>29</v>
      </c>
      <c r="AD131" s="156">
        <v>30</v>
      </c>
      <c r="AE131" s="40"/>
    </row>
    <row r="132" spans="1:31" x14ac:dyDescent="0.25">
      <c r="A132" s="1">
        <v>43562</v>
      </c>
      <c r="B132" t="s">
        <v>6</v>
      </c>
      <c r="C132" s="95" t="s">
        <v>5</v>
      </c>
      <c r="D132" s="106" t="s">
        <v>125</v>
      </c>
      <c r="E132" s="81">
        <v>3.5</v>
      </c>
      <c r="F132" s="69">
        <v>2</v>
      </c>
      <c r="G132" s="42">
        <v>7200</v>
      </c>
      <c r="H132" s="5"/>
      <c r="I132" s="5"/>
      <c r="J132" s="61">
        <f>(Table5[[#This Row],[RPM]]/5400-1)</f>
        <v>0.33333333333333326</v>
      </c>
      <c r="K132" s="45">
        <v>164</v>
      </c>
      <c r="L132">
        <v>5</v>
      </c>
      <c r="M132" s="36">
        <v>300000</v>
      </c>
      <c r="O132" s="36"/>
      <c r="P132" s="35">
        <f t="shared" si="19"/>
        <v>100000000000000</v>
      </c>
      <c r="Q132" s="53"/>
      <c r="R132" s="5">
        <v>9.5</v>
      </c>
      <c r="S132" s="5">
        <v>8.1</v>
      </c>
      <c r="T132" s="107">
        <v>1.3</v>
      </c>
      <c r="U132" s="110">
        <f>(((Table5[[#This Row],[Watts Active]]*Power_On_Hours_Year/1000)*Active_Duty_Cycle)+((Table5[[#This Row],[Watts Idle]]*Power_On_Hours_Year/1000)*(100%-Active_Duty_Cycle)))*CostPerKWH</f>
        <v>9.1821336000000002</v>
      </c>
      <c r="V132" s="141">
        <f>Table5[Energy$year]/Table5[[#This Row],[SizTB]]</f>
        <v>4.5910668000000001</v>
      </c>
      <c r="W132" s="140">
        <v>119.73</v>
      </c>
      <c r="X132" s="6">
        <f>IF(Table5[[#This Row],[Cost]],Table5[[#This Row],[Cost]]/Table5[[#This Row],[SizTB]]*Exchange_Rate,"")</f>
        <v>59.865000000000002</v>
      </c>
      <c r="Y132" s="145">
        <f>Table5[[#This Row],[Cost]]+((CompareWarrYrs-Table5[[#This Row],[Warranty]])*(Incremental_Warr_Yr*Table5[[#This Row],[Cost]]))*Exchange_Rate</f>
        <v>119.73</v>
      </c>
      <c r="Z132" s="6">
        <f>IF(Table5[[#This Row],[$+Warr]],Table5[[#This Row],[$+Warr]]/Table5[[#This Row],[SizTB]],"")</f>
        <v>59.865000000000002</v>
      </c>
      <c r="AA132" s="6">
        <f>Table5[[#This Row],[$PerTB]]/CompareWarrYrs</f>
        <v>11.973000000000001</v>
      </c>
      <c r="AB132" s="6">
        <f>IF(OR(Table5[[#This Row],[$ TB/year]]="",Table5[[#This Row],[Energy$yearPerTB]]=""),"",Table5[[#This Row],[$ TB/year]]+Table5[[#This Row],[Energy$yearPerTB]])</f>
        <v>16.564066799999999</v>
      </c>
      <c r="AC132" s="155">
        <v>29</v>
      </c>
      <c r="AD132" s="156">
        <v>34</v>
      </c>
      <c r="AE132" s="40"/>
    </row>
    <row r="133" spans="1:31" x14ac:dyDescent="0.25">
      <c r="A133" s="1">
        <v>43579</v>
      </c>
      <c r="B133" t="s">
        <v>6</v>
      </c>
      <c r="C133" s="95" t="s">
        <v>5</v>
      </c>
      <c r="D133" s="106" t="s">
        <v>125</v>
      </c>
      <c r="E133" s="81">
        <v>3.5</v>
      </c>
      <c r="F133" s="69">
        <v>4</v>
      </c>
      <c r="G133" s="42">
        <v>7200</v>
      </c>
      <c r="H133" s="5"/>
      <c r="I133" s="5"/>
      <c r="J133" s="61">
        <f>(Table5[[#This Row],[RPM]]/5400-1)</f>
        <v>0.33333333333333326</v>
      </c>
      <c r="K133" s="45">
        <v>202</v>
      </c>
      <c r="L133">
        <v>5</v>
      </c>
      <c r="M133" s="36">
        <v>300000</v>
      </c>
      <c r="O133" s="36"/>
      <c r="P133" s="35">
        <f t="shared" si="19"/>
        <v>100000000000000</v>
      </c>
      <c r="Q133" s="53"/>
      <c r="R133" s="5">
        <v>9.1</v>
      </c>
      <c r="S133" s="5">
        <v>5.8</v>
      </c>
      <c r="T133" s="107">
        <v>1</v>
      </c>
      <c r="U133" s="110">
        <f>(((Table5[[#This Row],[Watts Active]]*Power_On_Hours_Year/1000)*Active_Duty_Cycle)+((Table5[[#This Row],[Watts Idle]]*Power_On_Hours_Year/1000)*(100%-Active_Duty_Cycle)))*CostPerKWH</f>
        <v>7.0783512000000002</v>
      </c>
      <c r="V133" s="141">
        <f>Table5[Energy$year]/Table5[[#This Row],[SizTB]]</f>
        <v>1.7695878</v>
      </c>
      <c r="W133" s="140">
        <v>154.99</v>
      </c>
      <c r="X133" s="6">
        <f>IF(Table5[[#This Row],[Cost]],Table5[[#This Row],[Cost]]/Table5[[#This Row],[SizTB]]*Exchange_Rate,"")</f>
        <v>38.747500000000002</v>
      </c>
      <c r="Y133" s="145">
        <f>Table5[[#This Row],[Cost]]+((CompareWarrYrs-Table5[[#This Row],[Warranty]])*(Incremental_Warr_Yr*Table5[[#This Row],[Cost]]))*Exchange_Rate</f>
        <v>154.99</v>
      </c>
      <c r="Z133" s="6">
        <f>IF(Table5[[#This Row],[$+Warr]],Table5[[#This Row],[$+Warr]]/Table5[[#This Row],[SizTB]],"")</f>
        <v>38.747500000000002</v>
      </c>
      <c r="AA133" s="6">
        <f>Table5[[#This Row],[$PerTB]]/CompareWarrYrs</f>
        <v>7.7495000000000003</v>
      </c>
      <c r="AB133" s="6">
        <f>IF(OR(Table5[[#This Row],[$ TB/year]]="",Table5[[#This Row],[Energy$yearPerTB]]=""),"",Table5[[#This Row],[$ TB/year]]+Table5[[#This Row],[Energy$yearPerTB]])</f>
        <v>9.5190878000000012</v>
      </c>
      <c r="AC133" s="155">
        <v>29</v>
      </c>
      <c r="AD133" s="156">
        <v>36</v>
      </c>
      <c r="AE133" s="40"/>
    </row>
    <row r="134" spans="1:31" x14ac:dyDescent="0.25">
      <c r="A134" s="1">
        <v>43562</v>
      </c>
      <c r="B134" t="s">
        <v>6</v>
      </c>
      <c r="C134" s="95" t="s">
        <v>5</v>
      </c>
      <c r="D134" s="106" t="s">
        <v>125</v>
      </c>
      <c r="E134" s="81">
        <v>3.5</v>
      </c>
      <c r="F134" s="69">
        <v>6</v>
      </c>
      <c r="G134" s="42">
        <v>7200</v>
      </c>
      <c r="H134" s="5"/>
      <c r="I134" s="5"/>
      <c r="J134" s="61">
        <f>(Table5[[#This Row],[RPM]]/5400-1)</f>
        <v>0.33333333333333326</v>
      </c>
      <c r="K134" s="45">
        <v>227</v>
      </c>
      <c r="L134">
        <v>5</v>
      </c>
      <c r="M134" s="36">
        <v>300000</v>
      </c>
      <c r="O134" s="36"/>
      <c r="P134" s="35">
        <f t="shared" si="19"/>
        <v>100000000000000</v>
      </c>
      <c r="Q134" s="53"/>
      <c r="R134" s="5">
        <v>9.1</v>
      </c>
      <c r="S134" s="5">
        <v>7.1</v>
      </c>
      <c r="T134" s="107">
        <v>1</v>
      </c>
      <c r="U134" s="110">
        <f>(((Table5[[#This Row],[Watts Active]]*Power_On_Hours_Year/1000)*Active_Duty_Cycle)+((Table5[[#This Row],[Watts Idle]]*Power_On_Hours_Year/1000)*(100%-Active_Duty_Cycle)))*CostPerKWH</f>
        <v>8.2179000000000002</v>
      </c>
      <c r="V134" s="141">
        <f>Table5[Energy$year]/Table5[[#This Row],[SizTB]]</f>
        <v>1.36965</v>
      </c>
      <c r="W134" s="140">
        <v>234.99</v>
      </c>
      <c r="X134" s="6">
        <f>IF(Table5[[#This Row],[Cost]],Table5[[#This Row],[Cost]]/Table5[[#This Row],[SizTB]]*Exchange_Rate,"")</f>
        <v>39.164999999999999</v>
      </c>
      <c r="Y134" s="145">
        <f>Table5[[#This Row],[Cost]]+((CompareWarrYrs-Table5[[#This Row],[Warranty]])*(Incremental_Warr_Yr*Table5[[#This Row],[Cost]]))*Exchange_Rate</f>
        <v>234.99</v>
      </c>
      <c r="Z134" s="6">
        <f>IF(Table5[[#This Row],[$+Warr]],Table5[[#This Row],[$+Warr]]/Table5[[#This Row],[SizTB]],"")</f>
        <v>39.164999999999999</v>
      </c>
      <c r="AA134" s="6">
        <f>Table5[[#This Row],[$PerTB]]/CompareWarrYrs</f>
        <v>7.8330000000000002</v>
      </c>
      <c r="AB134" s="6">
        <f>IF(OR(Table5[[#This Row],[$ TB/year]]="",Table5[[#This Row],[Energy$yearPerTB]]=""),"",Table5[[#This Row],[$ TB/year]]+Table5[[#This Row],[Energy$yearPerTB]])</f>
        <v>9.2026500000000002</v>
      </c>
      <c r="AC134" s="155">
        <v>29</v>
      </c>
      <c r="AD134" s="156">
        <v>36</v>
      </c>
      <c r="AE134" s="40"/>
    </row>
    <row r="135" spans="1:31" x14ac:dyDescent="0.25">
      <c r="A135" s="1">
        <v>43284</v>
      </c>
      <c r="B135" t="s">
        <v>6</v>
      </c>
      <c r="C135" s="95" t="s">
        <v>27</v>
      </c>
      <c r="D135" s="106" t="s">
        <v>124</v>
      </c>
      <c r="E135" s="81">
        <v>2.5</v>
      </c>
      <c r="F135" s="69">
        <v>1</v>
      </c>
      <c r="G135" s="42">
        <v>5400</v>
      </c>
      <c r="H135" s="5"/>
      <c r="I135" s="5"/>
      <c r="J135" s="61">
        <f>(Table5[[#This Row],[RPM]]/5400-1)</f>
        <v>0</v>
      </c>
      <c r="K135" s="45"/>
      <c r="L135">
        <v>2</v>
      </c>
      <c r="M135" s="36">
        <v>600000</v>
      </c>
      <c r="O135" s="36"/>
      <c r="P135" s="35">
        <f t="shared" ref="P135:P141" si="20">10^14</f>
        <v>100000000000000</v>
      </c>
      <c r="Q135" s="53">
        <v>5</v>
      </c>
      <c r="R135" s="5">
        <v>1.5</v>
      </c>
      <c r="S135" s="5">
        <v>0.5</v>
      </c>
      <c r="T135" s="107">
        <v>0.1</v>
      </c>
      <c r="U135" s="110">
        <f>(((Table5[[#This Row],[Watts Active]]*Power_On_Hours_Year/1000)*Active_Duty_Cycle)+((Table5[[#This Row],[Watts Idle]]*Power_On_Hours_Year/1000)*(100%-Active_Duty_Cycle)))*CostPerKWH</f>
        <v>0.76700400000000002</v>
      </c>
      <c r="V135" s="141">
        <f>Table5[Energy$year]/Table5[[#This Row],[SizTB]]</f>
        <v>0.76700400000000002</v>
      </c>
      <c r="W135" s="140">
        <v>44.99</v>
      </c>
      <c r="X135" s="6">
        <f>IF(Table5[[#This Row],[Cost]],Table5[[#This Row],[Cost]]/Table5[[#This Row],[SizTB]]*Exchange_Rate,"")</f>
        <v>44.99</v>
      </c>
      <c r="Y135" s="145">
        <f>Table5[[#This Row],[Cost]]+((CompareWarrYrs-Table5[[#This Row],[Warranty]])*(Incremental_Warr_Yr*Table5[[#This Row],[Cost]]))*Exchange_Rate</f>
        <v>59.8367</v>
      </c>
      <c r="Z135" s="6">
        <f>IF(Table5[[#This Row],[$+Warr]],Table5[[#This Row],[$+Warr]]/Table5[[#This Row],[SizTB]],"")</f>
        <v>59.8367</v>
      </c>
      <c r="AA135" s="6">
        <f>Table5[[#This Row],[$PerTB]]/CompareWarrYrs</f>
        <v>11.96734</v>
      </c>
      <c r="AB135" s="6">
        <f>IF(OR(Table5[[#This Row],[$ TB/year]]="",Table5[[#This Row],[Energy$yearPerTB]]=""),"",Table5[[#This Row],[$ TB/year]]+Table5[[#This Row],[Energy$yearPerTB]])</f>
        <v>12.734344</v>
      </c>
      <c r="AC135" s="155"/>
      <c r="AD135" s="156"/>
      <c r="AE135" s="40"/>
    </row>
    <row r="136" spans="1:31" x14ac:dyDescent="0.25">
      <c r="A136" s="1">
        <v>43358</v>
      </c>
      <c r="B136" t="s">
        <v>6</v>
      </c>
      <c r="C136" s="95" t="s">
        <v>27</v>
      </c>
      <c r="D136" s="106" t="s">
        <v>124</v>
      </c>
      <c r="E136" s="81">
        <v>2.5</v>
      </c>
      <c r="F136" s="69">
        <v>2</v>
      </c>
      <c r="G136" s="42">
        <v>5400</v>
      </c>
      <c r="H136" s="5"/>
      <c r="I136" s="5"/>
      <c r="J136" s="61">
        <f>(Table5[[#This Row],[RPM]]/5400-1)</f>
        <v>0</v>
      </c>
      <c r="K136" s="45"/>
      <c r="L136">
        <v>2</v>
      </c>
      <c r="M136" s="36">
        <v>600000</v>
      </c>
      <c r="O136" s="36"/>
      <c r="P136" s="35">
        <f t="shared" si="20"/>
        <v>100000000000000</v>
      </c>
      <c r="Q136" s="53">
        <v>5</v>
      </c>
      <c r="R136" s="5">
        <v>1.7</v>
      </c>
      <c r="S136" s="5">
        <v>0.8</v>
      </c>
      <c r="T136" s="107">
        <v>0.2</v>
      </c>
      <c r="U136" s="110">
        <f>(((Table5[[#This Row],[Watts Active]]*Power_On_Hours_Year/1000)*Active_Duty_Cycle)+((Table5[[#This Row],[Watts Idle]]*Power_On_Hours_Year/1000)*(100%-Active_Duty_Cycle)))*CostPerKWH</f>
        <v>1.0738056</v>
      </c>
      <c r="V136" s="141">
        <f>Table5[Energy$year]/Table5[[#This Row],[SizTB]]</f>
        <v>0.53690280000000001</v>
      </c>
      <c r="W136" s="140">
        <v>81.99</v>
      </c>
      <c r="X136" s="6">
        <f>IF(Table5[[#This Row],[Cost]],Table5[[#This Row],[Cost]]/Table5[[#This Row],[SizTB]]*Exchange_Rate,"")</f>
        <v>40.994999999999997</v>
      </c>
      <c r="Y136" s="145">
        <f>Table5[[#This Row],[Cost]]+((CompareWarrYrs-Table5[[#This Row],[Warranty]])*(Incremental_Warr_Yr*Table5[[#This Row],[Cost]]))*Exchange_Rate</f>
        <v>109.04669999999999</v>
      </c>
      <c r="Z136" s="6">
        <f>IF(Table5[[#This Row],[$+Warr]],Table5[[#This Row],[$+Warr]]/Table5[[#This Row],[SizTB]],"")</f>
        <v>54.523349999999994</v>
      </c>
      <c r="AA136" s="6">
        <f>Table5[[#This Row],[$PerTB]]/CompareWarrYrs</f>
        <v>10.904669999999999</v>
      </c>
      <c r="AB136" s="6">
        <f>IF(OR(Table5[[#This Row],[$ TB/year]]="",Table5[[#This Row],[Energy$yearPerTB]]=""),"",Table5[[#This Row],[$ TB/year]]+Table5[[#This Row],[Energy$yearPerTB]])</f>
        <v>11.441572799999999</v>
      </c>
      <c r="AC136" s="155"/>
      <c r="AD136" s="156"/>
      <c r="AE136" s="40"/>
    </row>
    <row r="137" spans="1:31" x14ac:dyDescent="0.25">
      <c r="A137" s="1">
        <v>43581</v>
      </c>
      <c r="B137" t="s">
        <v>6</v>
      </c>
      <c r="C137" s="95" t="s">
        <v>27</v>
      </c>
      <c r="D137" s="106" t="s">
        <v>125</v>
      </c>
      <c r="E137" s="81">
        <v>3.5</v>
      </c>
      <c r="F137" s="69">
        <v>1</v>
      </c>
      <c r="G137" s="42">
        <v>5400</v>
      </c>
      <c r="H137" s="5"/>
      <c r="I137" s="5"/>
      <c r="J137" s="61">
        <f>(Table5[[#This Row],[RPM]]/5400-1)</f>
        <v>0</v>
      </c>
      <c r="K137" s="45">
        <v>150</v>
      </c>
      <c r="L137">
        <v>2</v>
      </c>
      <c r="M137" s="36">
        <v>300000</v>
      </c>
      <c r="O137" s="36"/>
      <c r="P137" s="35">
        <f t="shared" si="20"/>
        <v>100000000000000</v>
      </c>
      <c r="Q137" s="53"/>
      <c r="R137" s="5">
        <v>3.3</v>
      </c>
      <c r="S137" s="5">
        <v>2.5</v>
      </c>
      <c r="T137" s="107">
        <v>0.4</v>
      </c>
      <c r="U137" s="110">
        <f>(((Table5[[#This Row],[Watts Active]]*Power_On_Hours_Year/1000)*Active_Duty_Cycle)+((Table5[[#This Row],[Watts Idle]]*Power_On_Hours_Year/1000)*(100%-Active_Duty_Cycle)))*CostPerKWH</f>
        <v>2.9146152000000001</v>
      </c>
      <c r="V137" s="141">
        <f>Table5[Energy$year]/Table5[[#This Row],[SizTB]]</f>
        <v>2.9146152000000001</v>
      </c>
      <c r="W137" s="140">
        <f>45.99*0.9</f>
        <v>41.391000000000005</v>
      </c>
      <c r="X137" s="6">
        <f>IF(Table5[[#This Row],[Cost]],Table5[[#This Row],[Cost]]/Table5[[#This Row],[SizTB]]*Exchange_Rate,"")</f>
        <v>41.391000000000005</v>
      </c>
      <c r="Y137" s="145">
        <f>Table5[[#This Row],[Cost]]+((CompareWarrYrs-Table5[[#This Row],[Warranty]])*(Incremental_Warr_Yr*Table5[[#This Row],[Cost]]))*Exchange_Rate</f>
        <v>55.050030000000007</v>
      </c>
      <c r="Z137" s="6">
        <f>IF(Table5[[#This Row],[$+Warr]],Table5[[#This Row],[$+Warr]]/Table5[[#This Row],[SizTB]],"")</f>
        <v>55.050030000000007</v>
      </c>
      <c r="AA137" s="6">
        <f>Table5[[#This Row],[$PerTB]]/CompareWarrYrs</f>
        <v>11.010006000000001</v>
      </c>
      <c r="AB137" s="6">
        <f>IF(OR(Table5[[#This Row],[$ TB/year]]="",Table5[[#This Row],[Energy$yearPerTB]]=""),"",Table5[[#This Row],[$ TB/year]]+Table5[[#This Row],[Energy$yearPerTB]])</f>
        <v>13.924621200000001</v>
      </c>
      <c r="AC137" s="155">
        <v>21</v>
      </c>
      <c r="AD137" s="156">
        <v>24</v>
      </c>
      <c r="AE137" s="40"/>
    </row>
    <row r="138" spans="1:31" x14ac:dyDescent="0.25">
      <c r="A138" s="1">
        <v>43531</v>
      </c>
      <c r="B138" t="s">
        <v>6</v>
      </c>
      <c r="C138" s="95" t="s">
        <v>27</v>
      </c>
      <c r="D138" s="106" t="s">
        <v>125</v>
      </c>
      <c r="E138" s="81">
        <v>3.5</v>
      </c>
      <c r="F138" s="69">
        <v>2</v>
      </c>
      <c r="G138" s="42">
        <v>5400</v>
      </c>
      <c r="H138" s="5"/>
      <c r="I138" s="5"/>
      <c r="J138" s="61">
        <f>(Table5[[#This Row],[RPM]]/5400-1)</f>
        <v>0</v>
      </c>
      <c r="K138" s="45">
        <v>147</v>
      </c>
      <c r="L138">
        <v>2</v>
      </c>
      <c r="M138" s="36">
        <v>300000</v>
      </c>
      <c r="O138" s="36"/>
      <c r="P138" s="35">
        <f t="shared" si="20"/>
        <v>100000000000000</v>
      </c>
      <c r="Q138" s="53">
        <f>12*1.73</f>
        <v>20.759999999999998</v>
      </c>
      <c r="R138" s="5">
        <v>4.0999999999999996</v>
      </c>
      <c r="S138" s="5">
        <v>3</v>
      </c>
      <c r="T138" s="107">
        <v>0.4</v>
      </c>
      <c r="U138" s="110">
        <f>(((Table5[[#This Row],[Watts Active]]*Power_On_Hours_Year/1000)*Active_Duty_Cycle)+((Table5[[#This Row],[Watts Idle]]*Power_On_Hours_Year/1000)*(100%-Active_Duty_Cycle)))*CostPerKWH</f>
        <v>3.5282184000000001</v>
      </c>
      <c r="V138" s="141">
        <f>Table5[Energy$year]/Table5[[#This Row],[SizTB]]</f>
        <v>1.7641092</v>
      </c>
      <c r="W138" s="140">
        <v>52.99</v>
      </c>
      <c r="X138" s="6">
        <f>IF(Table5[[#This Row],[Cost]],Table5[[#This Row],[Cost]]/Table5[[#This Row],[SizTB]]*Exchange_Rate,"")</f>
        <v>26.495000000000001</v>
      </c>
      <c r="Y138" s="145">
        <f>Table5[[#This Row],[Cost]]+((CompareWarrYrs-Table5[[#This Row],[Warranty]])*(Incremental_Warr_Yr*Table5[[#This Row],[Cost]]))*Exchange_Rate</f>
        <v>70.476699999999994</v>
      </c>
      <c r="Z138" s="6">
        <f>IF(Table5[[#This Row],[$+Warr]],Table5[[#This Row],[$+Warr]]/Table5[[#This Row],[SizTB]],"")</f>
        <v>35.238349999999997</v>
      </c>
      <c r="AA138" s="6">
        <f>Table5[[#This Row],[$PerTB]]/CompareWarrYrs</f>
        <v>7.0476699999999992</v>
      </c>
      <c r="AB138" s="6">
        <f>IF(OR(Table5[[#This Row],[$ TB/year]]="",Table5[[#This Row],[Energy$yearPerTB]]=""),"",Table5[[#This Row],[$ TB/year]]+Table5[[#This Row],[Energy$yearPerTB]])</f>
        <v>8.8117792000000001</v>
      </c>
      <c r="AC138" s="155">
        <v>23</v>
      </c>
      <c r="AD138" s="156">
        <v>27</v>
      </c>
      <c r="AE138" s="40"/>
    </row>
    <row r="139" spans="1:31" x14ac:dyDescent="0.25">
      <c r="A139" s="1">
        <v>43298</v>
      </c>
      <c r="B139" t="s">
        <v>6</v>
      </c>
      <c r="C139" s="95" t="s">
        <v>27</v>
      </c>
      <c r="D139" s="106" t="s">
        <v>125</v>
      </c>
      <c r="E139" s="81">
        <v>3.5</v>
      </c>
      <c r="F139" s="69">
        <v>3</v>
      </c>
      <c r="G139" s="42">
        <v>5400</v>
      </c>
      <c r="H139" s="5"/>
      <c r="I139" s="5"/>
      <c r="J139" s="61">
        <f>(Table5[[#This Row],[RPM]]/5400-1)</f>
        <v>0</v>
      </c>
      <c r="K139" s="45">
        <v>147</v>
      </c>
      <c r="L139">
        <v>2</v>
      </c>
      <c r="M139" s="36">
        <v>300000</v>
      </c>
      <c r="O139" s="36"/>
      <c r="P139" s="35">
        <f t="shared" si="20"/>
        <v>100000000000000</v>
      </c>
      <c r="Q139" s="53">
        <f>12*1.73</f>
        <v>20.759999999999998</v>
      </c>
      <c r="R139" s="5">
        <v>4.0999999999999996</v>
      </c>
      <c r="S139" s="5">
        <v>3</v>
      </c>
      <c r="T139" s="107">
        <v>0.4</v>
      </c>
      <c r="U139" s="110">
        <f>(((Table5[[#This Row],[Watts Active]]*Power_On_Hours_Year/1000)*Active_Duty_Cycle)+((Table5[[#This Row],[Watts Idle]]*Power_On_Hours_Year/1000)*(100%-Active_Duty_Cycle)))*CostPerKWH</f>
        <v>3.5282184000000001</v>
      </c>
      <c r="V139" s="141">
        <f>Table5[Energy$year]/Table5[[#This Row],[SizTB]]</f>
        <v>1.1760728</v>
      </c>
      <c r="W139" s="140">
        <v>91.99</v>
      </c>
      <c r="X139" s="6">
        <f>IF(Table5[[#This Row],[Cost]],Table5[[#This Row],[Cost]]/Table5[[#This Row],[SizTB]]*Exchange_Rate,"")</f>
        <v>30.66333333333333</v>
      </c>
      <c r="Y139" s="145">
        <f>Table5[[#This Row],[Cost]]+((CompareWarrYrs-Table5[[#This Row],[Warranty]])*(Incremental_Warr_Yr*Table5[[#This Row],[Cost]]))*Exchange_Rate</f>
        <v>122.3467</v>
      </c>
      <c r="Z139" s="6">
        <f>IF(Table5[[#This Row],[$+Warr]],Table5[[#This Row],[$+Warr]]/Table5[[#This Row],[SizTB]],"")</f>
        <v>40.78223333333333</v>
      </c>
      <c r="AA139" s="6">
        <f>Table5[[#This Row],[$PerTB]]/CompareWarrYrs</f>
        <v>8.1564466666666657</v>
      </c>
      <c r="AB139" s="6">
        <f>IF(OR(Table5[[#This Row],[$ TB/year]]="",Table5[[#This Row],[Energy$yearPerTB]]=""),"",Table5[[#This Row],[$ TB/year]]+Table5[[#This Row],[Energy$yearPerTB]])</f>
        <v>9.3325194666666658</v>
      </c>
      <c r="AC139" s="155">
        <v>23</v>
      </c>
      <c r="AD139" s="156">
        <v>27</v>
      </c>
      <c r="AE139" s="40"/>
    </row>
    <row r="140" spans="1:31" x14ac:dyDescent="0.25">
      <c r="A140" s="1">
        <v>43453</v>
      </c>
      <c r="B140" t="s">
        <v>6</v>
      </c>
      <c r="C140" s="95" t="s">
        <v>27</v>
      </c>
      <c r="D140" s="106" t="s">
        <v>125</v>
      </c>
      <c r="E140" s="81">
        <v>3.5</v>
      </c>
      <c r="F140" s="69">
        <v>4</v>
      </c>
      <c r="G140" s="42">
        <v>5400</v>
      </c>
      <c r="H140" s="5"/>
      <c r="I140" s="5"/>
      <c r="J140" s="61">
        <f>(Table5[[#This Row],[RPM]]/5400-1)</f>
        <v>0</v>
      </c>
      <c r="K140" s="45">
        <v>150</v>
      </c>
      <c r="L140">
        <v>2</v>
      </c>
      <c r="M140" s="36">
        <v>300000</v>
      </c>
      <c r="O140" s="36"/>
      <c r="P140" s="35">
        <f t="shared" si="20"/>
        <v>100000000000000</v>
      </c>
      <c r="Q140" s="53">
        <f>12*1.75</f>
        <v>21</v>
      </c>
      <c r="R140" s="5">
        <v>5.3</v>
      </c>
      <c r="S140" s="5">
        <v>3.4</v>
      </c>
      <c r="T140" s="107">
        <v>0.4</v>
      </c>
      <c r="U140" s="110">
        <f>(((Table5[[#This Row],[Watts Active]]*Power_On_Hours_Year/1000)*Active_Duty_Cycle)+((Table5[[#This Row],[Watts Idle]]*Power_On_Hours_Year/1000)*(100%-Active_Duty_Cycle)))*CostPerKWH</f>
        <v>4.1418216000000001</v>
      </c>
      <c r="V140" s="141">
        <f>Table5[Energy$year]/Table5[[#This Row],[SizTB]]</f>
        <v>1.0354554</v>
      </c>
      <c r="W140" s="140">
        <v>84.99</v>
      </c>
      <c r="X140" s="6">
        <f>IF(Table5[[#This Row],[Cost]],Table5[[#This Row],[Cost]]/Table5[[#This Row],[SizTB]]*Exchange_Rate,"")</f>
        <v>21.247499999999999</v>
      </c>
      <c r="Y140" s="145">
        <f>Table5[[#This Row],[Cost]]+((CompareWarrYrs-Table5[[#This Row],[Warranty]])*(Incremental_Warr_Yr*Table5[[#This Row],[Cost]]))*Exchange_Rate</f>
        <v>113.0367</v>
      </c>
      <c r="Z140" s="6">
        <f>IF(Table5[[#This Row],[$+Warr]],Table5[[#This Row],[$+Warr]]/Table5[[#This Row],[SizTB]],"")</f>
        <v>28.259174999999999</v>
      </c>
      <c r="AA140" s="6">
        <f>Table5[[#This Row],[$PerTB]]/CompareWarrYrs</f>
        <v>5.6518350000000002</v>
      </c>
      <c r="AB140" s="6">
        <f>IF(OR(Table5[[#This Row],[$ TB/year]]="",Table5[[#This Row],[Energy$yearPerTB]]=""),"",Table5[[#This Row],[$ TB/year]]+Table5[[#This Row],[Energy$yearPerTB]])</f>
        <v>6.6872904000000002</v>
      </c>
      <c r="AC140" s="155">
        <v>25</v>
      </c>
      <c r="AD140" s="156">
        <v>28</v>
      </c>
      <c r="AE140" s="40"/>
    </row>
    <row r="141" spans="1:31" x14ac:dyDescent="0.25">
      <c r="A141" s="1">
        <v>43298</v>
      </c>
      <c r="B141" t="s">
        <v>6</v>
      </c>
      <c r="C141" s="95" t="s">
        <v>27</v>
      </c>
      <c r="D141" s="106" t="s">
        <v>125</v>
      </c>
      <c r="E141" s="81">
        <v>3.5</v>
      </c>
      <c r="F141" s="69">
        <v>6</v>
      </c>
      <c r="G141" s="42">
        <v>5400</v>
      </c>
      <c r="H141" s="5"/>
      <c r="I141" s="5"/>
      <c r="J141" s="61">
        <f>(Table5[[#This Row],[RPM]]/5400-1)</f>
        <v>0</v>
      </c>
      <c r="K141" s="45">
        <v>175</v>
      </c>
      <c r="L141">
        <v>2</v>
      </c>
      <c r="M141" s="36">
        <v>300000</v>
      </c>
      <c r="O141" s="36"/>
      <c r="P141" s="35">
        <f t="shared" si="20"/>
        <v>100000000000000</v>
      </c>
      <c r="Q141" s="53">
        <f>12*1.75</f>
        <v>21</v>
      </c>
      <c r="R141" s="5">
        <v>5.3</v>
      </c>
      <c r="S141" s="5">
        <v>3.4</v>
      </c>
      <c r="T141" s="107">
        <v>0.4</v>
      </c>
      <c r="U141" s="110">
        <f>(((Table5[[#This Row],[Watts Active]]*Power_On_Hours_Year/1000)*Active_Duty_Cycle)+((Table5[[#This Row],[Watts Idle]]*Power_On_Hours_Year/1000)*(100%-Active_Duty_Cycle)))*CostPerKWH</f>
        <v>4.1418216000000001</v>
      </c>
      <c r="V141" s="141">
        <f>Table5[Energy$year]/Table5[[#This Row],[SizTB]]</f>
        <v>0.69030360000000002</v>
      </c>
      <c r="W141" s="140">
        <v>176.99</v>
      </c>
      <c r="X141" s="6">
        <f>IF(Table5[[#This Row],[Cost]],Table5[[#This Row],[Cost]]/Table5[[#This Row],[SizTB]]*Exchange_Rate,"")</f>
        <v>29.498333333333335</v>
      </c>
      <c r="Y141" s="145">
        <f>Table5[[#This Row],[Cost]]+((CompareWarrYrs-Table5[[#This Row],[Warranty]])*(Incremental_Warr_Yr*Table5[[#This Row],[Cost]]))*Exchange_Rate</f>
        <v>235.39670000000001</v>
      </c>
      <c r="Z141" s="6">
        <f>IF(Table5[[#This Row],[$+Warr]],Table5[[#This Row],[$+Warr]]/Table5[[#This Row],[SizTB]],"")</f>
        <v>39.232783333333337</v>
      </c>
      <c r="AA141" s="6">
        <f>Table5[[#This Row],[$PerTB]]/CompareWarrYrs</f>
        <v>7.8465566666666673</v>
      </c>
      <c r="AB141" s="6">
        <f>IF(OR(Table5[[#This Row],[$ TB/year]]="",Table5[[#This Row],[Energy$yearPerTB]]=""),"",Table5[[#This Row],[$ TB/year]]+Table5[[#This Row],[Energy$yearPerTB]])</f>
        <v>8.5368602666666682</v>
      </c>
      <c r="AC141" s="155">
        <v>25</v>
      </c>
      <c r="AD141" s="156">
        <v>28</v>
      </c>
      <c r="AE141" s="40"/>
    </row>
    <row r="142" spans="1:31" x14ac:dyDescent="0.25">
      <c r="A142" s="1">
        <v>43579</v>
      </c>
      <c r="B142" t="s">
        <v>6</v>
      </c>
      <c r="C142" s="95" t="s">
        <v>57</v>
      </c>
      <c r="D142" s="27" t="s">
        <v>49</v>
      </c>
      <c r="E142" s="81">
        <v>3.5</v>
      </c>
      <c r="F142" s="69">
        <v>1</v>
      </c>
      <c r="G142" s="42">
        <v>7200</v>
      </c>
      <c r="H142" s="5"/>
      <c r="I142" s="5"/>
      <c r="J142" s="61">
        <f>(Table5[[#This Row],[RPM]]/5400-1)</f>
        <v>0.33333333333333326</v>
      </c>
      <c r="K142" s="45">
        <v>184</v>
      </c>
      <c r="L142">
        <v>5</v>
      </c>
      <c r="M142" s="36">
        <v>600000</v>
      </c>
      <c r="N142">
        <v>550</v>
      </c>
      <c r="O142" s="36">
        <v>2000000</v>
      </c>
      <c r="P142" s="35">
        <v>1000000000000000</v>
      </c>
      <c r="Q142" s="53"/>
      <c r="R142" s="5">
        <v>8.1</v>
      </c>
      <c r="S142" s="5">
        <v>5.9</v>
      </c>
      <c r="T142" s="107"/>
      <c r="U142" s="110">
        <f>(((Table5[[#This Row],[Watts Active]]*Power_On_Hours_Year/1000)*Active_Duty_Cycle)+((Table5[[#This Row],[Watts Idle]]*Power_On_Hours_Year/1000)*(100%-Active_Duty_Cycle)))*CostPerKWH</f>
        <v>6.9468648000000002</v>
      </c>
      <c r="V142" s="141">
        <f>Table5[Energy$year]/Table5[[#This Row],[SizTB]]</f>
        <v>6.9468648000000002</v>
      </c>
      <c r="W142" s="140">
        <v>94</v>
      </c>
      <c r="X142" s="6">
        <f>IF(Table5[[#This Row],[Cost]],Table5[[#This Row],[Cost]]/Table5[[#This Row],[SizTB]]*Exchange_Rate,"")</f>
        <v>94</v>
      </c>
      <c r="Y142" s="145">
        <f>Table5[[#This Row],[Cost]]+((CompareWarrYrs-Table5[[#This Row],[Warranty]])*(Incremental_Warr_Yr*Table5[[#This Row],[Cost]]))*Exchange_Rate</f>
        <v>94</v>
      </c>
      <c r="Z142" s="6">
        <f>IF(Table5[[#This Row],[$+Warr]],Table5[[#This Row],[$+Warr]]/Table5[[#This Row],[SizTB]],"")</f>
        <v>94</v>
      </c>
      <c r="AA142" s="6">
        <f>Table5[[#This Row],[$PerTB]]/CompareWarrYrs</f>
        <v>18.8</v>
      </c>
      <c r="AB142" s="6">
        <f>IF(OR(Table5[[#This Row],[$ TB/year]]="",Table5[[#This Row],[Energy$yearPerTB]]=""),"",Table5[[#This Row],[$ TB/year]]+Table5[[#This Row],[Energy$yearPerTB]])</f>
        <v>25.746864800000001</v>
      </c>
      <c r="AC142" s="155">
        <v>25</v>
      </c>
      <c r="AD142" s="156">
        <v>28</v>
      </c>
      <c r="AE142" s="40"/>
    </row>
    <row r="143" spans="1:31" x14ac:dyDescent="0.25">
      <c r="A143" s="1">
        <v>43531</v>
      </c>
      <c r="B143" t="s">
        <v>6</v>
      </c>
      <c r="C143" s="95" t="s">
        <v>57</v>
      </c>
      <c r="D143" s="27" t="s">
        <v>49</v>
      </c>
      <c r="E143" s="81">
        <v>3.5</v>
      </c>
      <c r="F143" s="69">
        <v>2</v>
      </c>
      <c r="G143" s="42">
        <v>7200</v>
      </c>
      <c r="H143" s="5"/>
      <c r="I143" s="5"/>
      <c r="J143" s="61">
        <f>(Table5[[#This Row],[RPM]]/5400-1)</f>
        <v>0.33333333333333326</v>
      </c>
      <c r="K143" s="45">
        <v>200</v>
      </c>
      <c r="L143">
        <v>5</v>
      </c>
      <c r="M143" s="36">
        <v>600000</v>
      </c>
      <c r="N143">
        <v>550</v>
      </c>
      <c r="O143" s="36">
        <v>2000000</v>
      </c>
      <c r="P143" s="35">
        <v>1000000000000000</v>
      </c>
      <c r="Q143" s="53"/>
      <c r="R143" s="5">
        <v>8.1</v>
      </c>
      <c r="S143" s="5">
        <v>5.9</v>
      </c>
      <c r="T143" s="107"/>
      <c r="U143" s="110">
        <f>(((Table5[[#This Row],[Watts Active]]*Power_On_Hours_Year/1000)*Active_Duty_Cycle)+((Table5[[#This Row],[Watts Idle]]*Power_On_Hours_Year/1000)*(100%-Active_Duty_Cycle)))*CostPerKWH</f>
        <v>6.9468648000000002</v>
      </c>
      <c r="V143" s="141">
        <f>Table5[Energy$year]/Table5[[#This Row],[SizTB]]</f>
        <v>3.4734324000000001</v>
      </c>
      <c r="W143" s="140">
        <v>115</v>
      </c>
      <c r="X143" s="6">
        <f>IF(Table5[[#This Row],[Cost]],Table5[[#This Row],[Cost]]/Table5[[#This Row],[SizTB]]*Exchange_Rate,"")</f>
        <v>57.5</v>
      </c>
      <c r="Y143" s="145">
        <f>Table5[[#This Row],[Cost]]+((CompareWarrYrs-Table5[[#This Row],[Warranty]])*(Incremental_Warr_Yr*Table5[[#This Row],[Cost]]))*Exchange_Rate</f>
        <v>115</v>
      </c>
      <c r="Z143" s="6">
        <f>IF(Table5[[#This Row],[$+Warr]],Table5[[#This Row],[$+Warr]]/Table5[[#This Row],[SizTB]],"")</f>
        <v>57.5</v>
      </c>
      <c r="AA143" s="6">
        <f>Table5[[#This Row],[$PerTB]]/CompareWarrYrs</f>
        <v>11.5</v>
      </c>
      <c r="AB143" s="6">
        <f>IF(OR(Table5[[#This Row],[$ TB/year]]="",Table5[[#This Row],[Energy$yearPerTB]]=""),"",Table5[[#This Row],[$ TB/year]]+Table5[[#This Row],[Energy$yearPerTB]])</f>
        <v>14.9734324</v>
      </c>
      <c r="AC143" s="155">
        <v>25</v>
      </c>
      <c r="AD143" s="156">
        <v>28</v>
      </c>
      <c r="AE143" s="40"/>
    </row>
    <row r="144" spans="1:31" x14ac:dyDescent="0.25">
      <c r="A144" s="1">
        <v>43579</v>
      </c>
      <c r="B144" t="s">
        <v>6</v>
      </c>
      <c r="C144" s="95" t="s">
        <v>57</v>
      </c>
      <c r="D144" s="27" t="s">
        <v>49</v>
      </c>
      <c r="E144" s="81">
        <v>3.5</v>
      </c>
      <c r="F144" s="69">
        <v>4</v>
      </c>
      <c r="G144" s="42">
        <v>7200</v>
      </c>
      <c r="H144" s="5"/>
      <c r="I144" s="5"/>
      <c r="J144" s="61">
        <f>(Table5[[#This Row],[RPM]]/5400-1)</f>
        <v>0.33333333333333326</v>
      </c>
      <c r="K144" s="45">
        <v>201</v>
      </c>
      <c r="L144">
        <v>5</v>
      </c>
      <c r="M144" s="36">
        <v>600000</v>
      </c>
      <c r="N144">
        <v>550</v>
      </c>
      <c r="O144" s="36">
        <v>2000000</v>
      </c>
      <c r="P144" s="35">
        <v>1000000000000000</v>
      </c>
      <c r="Q144" s="53"/>
      <c r="R144" s="5">
        <v>9</v>
      </c>
      <c r="S144" s="5">
        <v>7</v>
      </c>
      <c r="T144" s="107"/>
      <c r="U144" s="110">
        <f>(((Table5[[#This Row],[Watts Active]]*Power_On_Hours_Year/1000)*Active_Duty_Cycle)+((Table5[[#This Row],[Watts Idle]]*Power_On_Hours_Year/1000)*(100%-Active_Duty_Cycle)))*CostPerKWH</f>
        <v>8.1083280000000002</v>
      </c>
      <c r="V144" s="141">
        <f>Table5[Energy$year]/Table5[[#This Row],[SizTB]]</f>
        <v>2.0270820000000001</v>
      </c>
      <c r="W144" s="140">
        <v>169.99</v>
      </c>
      <c r="X144" s="6">
        <f>IF(Table5[[#This Row],[Cost]],Table5[[#This Row],[Cost]]/Table5[[#This Row],[SizTB]]*Exchange_Rate,"")</f>
        <v>42.497500000000002</v>
      </c>
      <c r="Y144" s="145">
        <f>Table5[[#This Row],[Cost]]+((CompareWarrYrs-Table5[[#This Row],[Warranty]])*(Incremental_Warr_Yr*Table5[[#This Row],[Cost]]))*Exchange_Rate</f>
        <v>169.99</v>
      </c>
      <c r="Z144" s="6">
        <f>IF(Table5[[#This Row],[$+Warr]],Table5[[#This Row],[$+Warr]]/Table5[[#This Row],[SizTB]],"")</f>
        <v>42.497500000000002</v>
      </c>
      <c r="AA144" s="6">
        <f>Table5[[#This Row],[$PerTB]]/CompareWarrYrs</f>
        <v>8.4995000000000012</v>
      </c>
      <c r="AB144" s="6">
        <f>IF(OR(Table5[[#This Row],[$ TB/year]]="",Table5[[#This Row],[Energy$yearPerTB]]=""),"",Table5[[#This Row],[$ TB/year]]+Table5[[#This Row],[Energy$yearPerTB]])</f>
        <v>10.526582000000001</v>
      </c>
      <c r="AC144" s="155">
        <v>29</v>
      </c>
      <c r="AD144" s="156">
        <v>36</v>
      </c>
      <c r="AE144" s="102"/>
    </row>
    <row r="145" spans="1:31" x14ac:dyDescent="0.25">
      <c r="A145" s="1">
        <v>43579</v>
      </c>
      <c r="B145" t="s">
        <v>6</v>
      </c>
      <c r="C145" s="95" t="s">
        <v>57</v>
      </c>
      <c r="D145" s="27" t="s">
        <v>49</v>
      </c>
      <c r="E145" s="81">
        <v>3.5</v>
      </c>
      <c r="F145" s="69">
        <v>6</v>
      </c>
      <c r="G145" s="42">
        <v>7200</v>
      </c>
      <c r="H145" s="5"/>
      <c r="I145" s="5"/>
      <c r="J145" s="61">
        <f>(Table5[[#This Row],[RPM]]/5400-1)</f>
        <v>0.33333333333333326</v>
      </c>
      <c r="K145" s="45">
        <v>226</v>
      </c>
      <c r="L145">
        <v>5</v>
      </c>
      <c r="M145" s="36">
        <v>600000</v>
      </c>
      <c r="N145">
        <v>550</v>
      </c>
      <c r="O145" s="36">
        <v>2000000</v>
      </c>
      <c r="P145" s="35">
        <v>1000000000000000</v>
      </c>
      <c r="Q145" s="53"/>
      <c r="R145" s="5">
        <v>9.3000000000000007</v>
      </c>
      <c r="S145" s="5">
        <v>7.1</v>
      </c>
      <c r="T145" s="107"/>
      <c r="U145" s="110">
        <f>(((Table5[[#This Row],[Watts Active]]*Power_On_Hours_Year/1000)*Active_Duty_Cycle)+((Table5[[#This Row],[Watts Idle]]*Power_On_Hours_Year/1000)*(100%-Active_Duty_Cycle)))*CostPerKWH</f>
        <v>8.2617288000000002</v>
      </c>
      <c r="V145" s="141">
        <f>Table5[Energy$year]/Table5[[#This Row],[SizTB]]</f>
        <v>1.3769548</v>
      </c>
      <c r="W145" s="140">
        <v>234.19</v>
      </c>
      <c r="X145" s="6">
        <f>IF(Table5[[#This Row],[Cost]],Table5[[#This Row],[Cost]]/Table5[[#This Row],[SizTB]]*Exchange_Rate,"")</f>
        <v>39.031666666666666</v>
      </c>
      <c r="Y145" s="145">
        <f>Table5[[#This Row],[Cost]]+((CompareWarrYrs-Table5[[#This Row],[Warranty]])*(Incremental_Warr_Yr*Table5[[#This Row],[Cost]]))*Exchange_Rate</f>
        <v>234.19</v>
      </c>
      <c r="Z145" s="6">
        <f>IF(Table5[[#This Row],[$+Warr]],Table5[[#This Row],[$+Warr]]/Table5[[#This Row],[SizTB]],"")</f>
        <v>39.031666666666666</v>
      </c>
      <c r="AA145" s="6">
        <f>Table5[[#This Row],[$PerTB]]/CompareWarrYrs</f>
        <v>7.8063333333333329</v>
      </c>
      <c r="AB145" s="6">
        <f>IF(OR(Table5[[#This Row],[$ TB/year]]="",Table5[[#This Row],[Energy$yearPerTB]]=""),"",Table5[[#This Row],[$ TB/year]]+Table5[[#This Row],[Energy$yearPerTB]])</f>
        <v>9.1832881333333329</v>
      </c>
      <c r="AC145" s="155">
        <v>29</v>
      </c>
      <c r="AD145" s="156">
        <v>36</v>
      </c>
      <c r="AE145" s="102" t="s">
        <v>114</v>
      </c>
    </row>
    <row r="146" spans="1:31" x14ac:dyDescent="0.25">
      <c r="A146" s="1">
        <v>43579</v>
      </c>
      <c r="B146" t="s">
        <v>6</v>
      </c>
      <c r="C146" s="95" t="s">
        <v>57</v>
      </c>
      <c r="D146" s="27" t="s">
        <v>49</v>
      </c>
      <c r="E146" s="81">
        <v>3.5</v>
      </c>
      <c r="F146" s="69">
        <v>8</v>
      </c>
      <c r="G146" s="42">
        <v>7200</v>
      </c>
      <c r="H146" s="5"/>
      <c r="I146" s="5"/>
      <c r="J146" s="61">
        <f>(Table5[[#This Row],[RPM]]/5400-1)</f>
        <v>0.33333333333333326</v>
      </c>
      <c r="K146" s="45">
        <v>205</v>
      </c>
      <c r="L146">
        <v>5</v>
      </c>
      <c r="M146" s="36">
        <v>600000</v>
      </c>
      <c r="N146">
        <v>550</v>
      </c>
      <c r="O146" s="36">
        <v>2500000</v>
      </c>
      <c r="P146" s="35">
        <v>1000000000000000</v>
      </c>
      <c r="Q146" s="53"/>
      <c r="R146" s="5">
        <v>7.2</v>
      </c>
      <c r="S146" s="5">
        <v>5.0999999999999996</v>
      </c>
      <c r="T146" s="107"/>
      <c r="U146" s="110">
        <f>(((Table5[[#This Row],[Watts Active]]*Power_On_Hours_Year/1000)*Active_Duty_Cycle)+((Table5[[#This Row],[Watts Idle]]*Power_On_Hours_Year/1000)*(100%-Active_Duty_Cycle)))*CostPerKWH</f>
        <v>6.0483743999999993</v>
      </c>
      <c r="V146" s="141">
        <f>Table5[Energy$year]/Table5[[#This Row],[SizTB]]</f>
        <v>0.75604679999999991</v>
      </c>
      <c r="W146" s="140">
        <v>314.85000000000002</v>
      </c>
      <c r="X146" s="6">
        <f>IF(Table5[[#This Row],[Cost]],Table5[[#This Row],[Cost]]/Table5[[#This Row],[SizTB]]*Exchange_Rate,"")</f>
        <v>39.356250000000003</v>
      </c>
      <c r="Y146" s="145">
        <f>Table5[[#This Row],[Cost]]+((CompareWarrYrs-Table5[[#This Row],[Warranty]])*(Incremental_Warr_Yr*Table5[[#This Row],[Cost]]))*Exchange_Rate</f>
        <v>314.85000000000002</v>
      </c>
      <c r="Z146" s="6">
        <f>IF(Table5[[#This Row],[$+Warr]],Table5[[#This Row],[$+Warr]]/Table5[[#This Row],[SizTB]],"")</f>
        <v>39.356250000000003</v>
      </c>
      <c r="AA146" s="6">
        <f>Table5[[#This Row],[$PerTB]]/CompareWarrYrs</f>
        <v>7.8712500000000007</v>
      </c>
      <c r="AB146" s="6">
        <f>IF(OR(Table5[[#This Row],[$ TB/year]]="",Table5[[#This Row],[Energy$yearPerTB]]=""),"",Table5[[#This Row],[$ TB/year]]+Table5[[#This Row],[Energy$yearPerTB]])</f>
        <v>8.6272967999999999</v>
      </c>
      <c r="AC146" s="155">
        <v>20</v>
      </c>
      <c r="AD146" s="156">
        <v>36</v>
      </c>
      <c r="AE146" s="102" t="s">
        <v>37</v>
      </c>
    </row>
    <row r="147" spans="1:31" x14ac:dyDescent="0.25">
      <c r="A147" s="1">
        <v>43579</v>
      </c>
      <c r="B147" t="s">
        <v>6</v>
      </c>
      <c r="C147" s="95" t="s">
        <v>57</v>
      </c>
      <c r="D147" s="27" t="s">
        <v>49</v>
      </c>
      <c r="E147" s="81">
        <v>3.5</v>
      </c>
      <c r="F147" s="69">
        <v>10</v>
      </c>
      <c r="G147" s="42">
        <v>7200</v>
      </c>
      <c r="H147" s="5"/>
      <c r="I147" s="5"/>
      <c r="J147" s="61">
        <f>(Table5[[#This Row],[RPM]]/5400-1)</f>
        <v>0.33333333333333326</v>
      </c>
      <c r="K147" s="45">
        <v>249</v>
      </c>
      <c r="L147">
        <v>5</v>
      </c>
      <c r="M147" s="36">
        <v>600000</v>
      </c>
      <c r="N147">
        <v>550</v>
      </c>
      <c r="O147" s="36">
        <v>2500000</v>
      </c>
      <c r="P147" s="35">
        <v>1000000000000000</v>
      </c>
      <c r="Q147" s="53"/>
      <c r="R147" s="5">
        <v>7.1</v>
      </c>
      <c r="S147" s="5">
        <v>5</v>
      </c>
      <c r="T147" s="107"/>
      <c r="U147" s="110">
        <f>(((Table5[[#This Row],[Watts Active]]*Power_On_Hours_Year/1000)*Active_Duty_Cycle)+((Table5[[#This Row],[Watts Idle]]*Power_On_Hours_Year/1000)*(100%-Active_Duty_Cycle)))*CostPerKWH</f>
        <v>5.9388024000000001</v>
      </c>
      <c r="V147" s="141">
        <f>Table5[Energy$year]/Table5[[#This Row],[SizTB]]</f>
        <v>0.59388024000000006</v>
      </c>
      <c r="W147" s="140">
        <v>455.63</v>
      </c>
      <c r="X147" s="6">
        <f>IF(Table5[[#This Row],[Cost]],Table5[[#This Row],[Cost]]/Table5[[#This Row],[SizTB]]*Exchange_Rate,"")</f>
        <v>45.563000000000002</v>
      </c>
      <c r="Y147" s="145">
        <f>Table5[[#This Row],[Cost]]+((CompareWarrYrs-Table5[[#This Row],[Warranty]])*(Incremental_Warr_Yr*Table5[[#This Row],[Cost]]))*Exchange_Rate</f>
        <v>455.63</v>
      </c>
      <c r="Z147" s="6">
        <f>IF(Table5[[#This Row],[$+Warr]],Table5[[#This Row],[$+Warr]]/Table5[[#This Row],[SizTB]],"")</f>
        <v>45.563000000000002</v>
      </c>
      <c r="AA147" s="6">
        <f>Table5[[#This Row],[$PerTB]]/CompareWarrYrs</f>
        <v>9.1126000000000005</v>
      </c>
      <c r="AB147" s="6">
        <f>IF(OR(Table5[[#This Row],[$ TB/year]]="",Table5[[#This Row],[Energy$yearPerTB]]=""),"",Table5[[#This Row],[$ TB/year]]+Table5[[#This Row],[Energy$yearPerTB]])</f>
        <v>9.7064802400000012</v>
      </c>
      <c r="AC147" s="155">
        <v>20</v>
      </c>
      <c r="AD147" s="156">
        <v>36</v>
      </c>
      <c r="AE147" s="102" t="s">
        <v>37</v>
      </c>
    </row>
    <row r="148" spans="1:31" x14ac:dyDescent="0.25">
      <c r="A148" s="1">
        <v>43579</v>
      </c>
      <c r="B148" t="s">
        <v>6</v>
      </c>
      <c r="C148" s="95" t="s">
        <v>57</v>
      </c>
      <c r="D148" s="27" t="s">
        <v>49</v>
      </c>
      <c r="E148" s="81">
        <v>3.5</v>
      </c>
      <c r="F148" s="69">
        <v>12</v>
      </c>
      <c r="G148" s="42">
        <v>7200</v>
      </c>
      <c r="H148" s="5">
        <v>4.16</v>
      </c>
      <c r="I148" s="5"/>
      <c r="J148" s="61">
        <f>(Table5[[#This Row],[RPM]]/5400-1)</f>
        <v>0.33333333333333326</v>
      </c>
      <c r="K148" s="45">
        <v>255</v>
      </c>
      <c r="L148">
        <v>5</v>
      </c>
      <c r="M148" s="36">
        <v>600000</v>
      </c>
      <c r="N148">
        <v>550</v>
      </c>
      <c r="O148" s="36">
        <v>2500000</v>
      </c>
      <c r="P148" s="35">
        <v>1000000000000000</v>
      </c>
      <c r="Q148" s="53"/>
      <c r="R148" s="5">
        <v>7</v>
      </c>
      <c r="S148" s="5">
        <v>5</v>
      </c>
      <c r="T148" s="107"/>
      <c r="U148" s="110">
        <f>(((Table5[[#This Row],[Watts Active]]*Power_On_Hours_Year/1000)*Active_Duty_Cycle)+((Table5[[#This Row],[Watts Idle]]*Power_On_Hours_Year/1000)*(100%-Active_Duty_Cycle)))*CostPerKWH</f>
        <v>5.9168880000000001</v>
      </c>
      <c r="V148" s="141">
        <f>Table5[Energy$year]/Table5[[#This Row],[SizTB]]</f>
        <v>0.49307400000000001</v>
      </c>
      <c r="W148" s="140">
        <v>565.79</v>
      </c>
      <c r="X148" s="6">
        <f>IF(Table5[[#This Row],[Cost]],Table5[[#This Row],[Cost]]/Table5[[#This Row],[SizTB]]*Exchange_Rate,"")</f>
        <v>47.149166666666666</v>
      </c>
      <c r="Y148" s="145">
        <f>Table5[[#This Row],[Cost]]+((CompareWarrYrs-Table5[[#This Row],[Warranty]])*(Incremental_Warr_Yr*Table5[[#This Row],[Cost]]))*Exchange_Rate</f>
        <v>565.79</v>
      </c>
      <c r="Z148" s="6">
        <f>IF(Table5[[#This Row],[$+Warr]],Table5[[#This Row],[$+Warr]]/Table5[[#This Row],[SizTB]],"")</f>
        <v>47.149166666666666</v>
      </c>
      <c r="AA148" s="6">
        <f>Table5[[#This Row],[$PerTB]]/CompareWarrYrs</f>
        <v>9.4298333333333328</v>
      </c>
      <c r="AB148" s="6">
        <f>IF(OR(Table5[[#This Row],[$ TB/year]]="",Table5[[#This Row],[Energy$yearPerTB]]=""),"",Table5[[#This Row],[$ TB/year]]+Table5[[#This Row],[Energy$yearPerTB]])</f>
        <v>9.9229073333333329</v>
      </c>
      <c r="AC148" s="155">
        <v>20</v>
      </c>
      <c r="AD148" s="156">
        <v>36</v>
      </c>
      <c r="AE148" s="102" t="s">
        <v>37</v>
      </c>
    </row>
    <row r="149" spans="1:31" x14ac:dyDescent="0.25">
      <c r="A149" s="1">
        <v>43354</v>
      </c>
      <c r="B149" t="s">
        <v>6</v>
      </c>
      <c r="C149" s="95" t="s">
        <v>55</v>
      </c>
      <c r="D149" s="101" t="s">
        <v>49</v>
      </c>
      <c r="E149" s="81">
        <v>2.5</v>
      </c>
      <c r="F149" s="69">
        <v>0.75</v>
      </c>
      <c r="G149" s="42">
        <v>5400</v>
      </c>
      <c r="H149" s="5"/>
      <c r="I149" s="5"/>
      <c r="J149" s="61">
        <f>(Table5[[#This Row],[RPM]]/5400-1)</f>
        <v>0</v>
      </c>
      <c r="K149" s="45">
        <v>144</v>
      </c>
      <c r="L149">
        <v>3</v>
      </c>
      <c r="M149" s="36">
        <v>600000</v>
      </c>
      <c r="N149">
        <v>180</v>
      </c>
      <c r="O149" s="36">
        <v>1000000</v>
      </c>
      <c r="P149" s="35">
        <f t="shared" ref="P149:P150" si="21">10^14</f>
        <v>100000000000000</v>
      </c>
      <c r="Q149" s="53">
        <v>5</v>
      </c>
      <c r="R149" s="5">
        <v>1.4</v>
      </c>
      <c r="S149" s="5">
        <v>0.6</v>
      </c>
      <c r="T149" s="107">
        <v>0.2</v>
      </c>
      <c r="U149" s="110">
        <f>(((Table5[[#This Row],[Watts Active]]*Power_On_Hours_Year/1000)*Active_Duty_Cycle)+((Table5[[#This Row],[Watts Idle]]*Power_On_Hours_Year/1000)*(100%-Active_Duty_Cycle)))*CostPerKWH</f>
        <v>0.83274720000000002</v>
      </c>
      <c r="V149" s="141">
        <f>Table5[Energy$year]/Table5[[#This Row],[SizTB]]</f>
        <v>1.1103296</v>
      </c>
      <c r="W149" s="140">
        <v>61.97</v>
      </c>
      <c r="X149" s="6">
        <f>IF(Table5[[#This Row],[Cost]],Table5[[#This Row],[Cost]]/Table5[[#This Row],[SizTB]]*Exchange_Rate,"")</f>
        <v>82.626666666666665</v>
      </c>
      <c r="Y149" s="145">
        <f>Table5[[#This Row],[Cost]]+((CompareWarrYrs-Table5[[#This Row],[Warranty]])*(Incremental_Warr_Yr*Table5[[#This Row],[Cost]]))*Exchange_Rate</f>
        <v>75.603399999999993</v>
      </c>
      <c r="Z149" s="6">
        <f>IF(Table5[[#This Row],[$+Warr]],Table5[[#This Row],[$+Warr]]/Table5[[#This Row],[SizTB]],"")</f>
        <v>100.80453333333332</v>
      </c>
      <c r="AA149" s="6">
        <f>Table5[[#This Row],[$PerTB]]/CompareWarrYrs</f>
        <v>20.160906666666666</v>
      </c>
      <c r="AB149" s="6">
        <f>IF(OR(Table5[[#This Row],[$ TB/year]]="",Table5[[#This Row],[Energy$yearPerTB]]=""),"",Table5[[#This Row],[$ TB/year]]+Table5[[#This Row],[Energy$yearPerTB]])</f>
        <v>21.271236266666666</v>
      </c>
      <c r="AC149" s="155"/>
      <c r="AD149" s="156"/>
      <c r="AE149" s="40"/>
    </row>
    <row r="150" spans="1:31" x14ac:dyDescent="0.25">
      <c r="A150" s="1">
        <v>43298</v>
      </c>
      <c r="B150" t="s">
        <v>6</v>
      </c>
      <c r="C150" s="95" t="s">
        <v>55</v>
      </c>
      <c r="D150" s="101" t="s">
        <v>49</v>
      </c>
      <c r="E150" s="81">
        <v>2.5</v>
      </c>
      <c r="F150" s="69">
        <v>1</v>
      </c>
      <c r="G150" s="42">
        <v>5400</v>
      </c>
      <c r="H150" s="5"/>
      <c r="I150" s="5"/>
      <c r="J150" s="61">
        <f>(Table5[[#This Row],[RPM]]/5400-1)</f>
        <v>0</v>
      </c>
      <c r="K150" s="45">
        <v>144</v>
      </c>
      <c r="L150">
        <v>3</v>
      </c>
      <c r="M150" s="36">
        <v>600000</v>
      </c>
      <c r="N150">
        <v>180</v>
      </c>
      <c r="O150" s="36">
        <v>1000000</v>
      </c>
      <c r="P150" s="35">
        <f t="shared" si="21"/>
        <v>100000000000000</v>
      </c>
      <c r="Q150" s="53">
        <v>5</v>
      </c>
      <c r="R150" s="5">
        <v>1.4</v>
      </c>
      <c r="S150" s="5">
        <v>0.6</v>
      </c>
      <c r="T150" s="107">
        <v>0.2</v>
      </c>
      <c r="U150" s="110">
        <f>(((Table5[[#This Row],[Watts Active]]*Power_On_Hours_Year/1000)*Active_Duty_Cycle)+((Table5[[#This Row],[Watts Idle]]*Power_On_Hours_Year/1000)*(100%-Active_Duty_Cycle)))*CostPerKWH</f>
        <v>0.83274720000000002</v>
      </c>
      <c r="V150" s="141">
        <f>Table5[Energy$year]/Table5[[#This Row],[SizTB]]</f>
        <v>0.83274720000000002</v>
      </c>
      <c r="W150" s="140">
        <v>72.23</v>
      </c>
      <c r="X150" s="6">
        <f>IF(Table5[[#This Row],[Cost]],Table5[[#This Row],[Cost]]/Table5[[#This Row],[SizTB]]*Exchange_Rate,"")</f>
        <v>72.23</v>
      </c>
      <c r="Y150" s="145">
        <f>Table5[[#This Row],[Cost]]+((CompareWarrYrs-Table5[[#This Row],[Warranty]])*(Incremental_Warr_Yr*Table5[[#This Row],[Cost]]))*Exchange_Rate</f>
        <v>88.12060000000001</v>
      </c>
      <c r="Z150" s="6">
        <f>IF(Table5[[#This Row],[$+Warr]],Table5[[#This Row],[$+Warr]]/Table5[[#This Row],[SizTB]],"")</f>
        <v>88.12060000000001</v>
      </c>
      <c r="AA150" s="6">
        <f>Table5[[#This Row],[$PerTB]]/CompareWarrYrs</f>
        <v>17.624120000000001</v>
      </c>
      <c r="AB150" s="6">
        <f>IF(OR(Table5[[#This Row],[$ TB/year]]="",Table5[[#This Row],[Energy$yearPerTB]]=""),"",Table5[[#This Row],[$ TB/year]]+Table5[[#This Row],[Energy$yearPerTB]])</f>
        <v>18.456867200000001</v>
      </c>
      <c r="AC150" s="155"/>
      <c r="AD150" s="156"/>
      <c r="AE150" s="40"/>
    </row>
    <row r="151" spans="1:31" x14ac:dyDescent="0.25">
      <c r="A151" s="1">
        <v>43579</v>
      </c>
      <c r="B151" t="s">
        <v>6</v>
      </c>
      <c r="C151" s="95" t="s">
        <v>55</v>
      </c>
      <c r="D151" s="27" t="s">
        <v>49</v>
      </c>
      <c r="E151" s="81">
        <v>3.5</v>
      </c>
      <c r="F151" s="69">
        <v>1</v>
      </c>
      <c r="G151" s="42">
        <v>5400</v>
      </c>
      <c r="H151" s="5"/>
      <c r="I151" s="5"/>
      <c r="J151" s="61">
        <f>(Table5[[#This Row],[RPM]]/5400-1)</f>
        <v>0</v>
      </c>
      <c r="K151" s="45">
        <v>150</v>
      </c>
      <c r="L151">
        <v>3</v>
      </c>
      <c r="M151" s="36">
        <v>600000</v>
      </c>
      <c r="N151">
        <v>180</v>
      </c>
      <c r="O151" s="36">
        <v>1000000</v>
      </c>
      <c r="P151" s="35">
        <f>10^14</f>
        <v>100000000000000</v>
      </c>
      <c r="Q151" s="53">
        <f>12*1.2</f>
        <v>14.399999999999999</v>
      </c>
      <c r="R151" s="5">
        <v>3.3</v>
      </c>
      <c r="S151" s="5">
        <v>2.2999999999999998</v>
      </c>
      <c r="T151" s="107">
        <v>0.4</v>
      </c>
      <c r="U151" s="110">
        <f>(((Table5[[#This Row],[Watts Active]]*Power_On_Hours_Year/1000)*Active_Duty_Cycle)+((Table5[[#This Row],[Watts Idle]]*Power_On_Hours_Year/1000)*(100%-Active_Duty_Cycle)))*CostPerKWH</f>
        <v>2.7393000000000001</v>
      </c>
      <c r="V151" s="141">
        <f>Table5[Energy$year]/Table5[[#This Row],[SizTB]]</f>
        <v>2.7393000000000001</v>
      </c>
      <c r="W151" s="140">
        <v>66.239999999999995</v>
      </c>
      <c r="X151" s="6">
        <f>IF(Table5[[#This Row],[Cost]],Table5[[#This Row],[Cost]]/Table5[[#This Row],[SizTB]]*Exchange_Rate,"")</f>
        <v>66.239999999999995</v>
      </c>
      <c r="Y151" s="145">
        <f>Table5[[#This Row],[Cost]]+((CompareWarrYrs-Table5[[#This Row],[Warranty]])*(Incremental_Warr_Yr*Table5[[#This Row],[Cost]]))*Exchange_Rate</f>
        <v>80.812799999999996</v>
      </c>
      <c r="Z151" s="6">
        <f>IF(Table5[[#This Row],[$+Warr]],Table5[[#This Row],[$+Warr]]/Table5[[#This Row],[SizTB]],"")</f>
        <v>80.812799999999996</v>
      </c>
      <c r="AA151" s="6">
        <f>Table5[[#This Row],[$PerTB]]/CompareWarrYrs</f>
        <v>16.162559999999999</v>
      </c>
      <c r="AB151" s="6">
        <f>IF(OR(Table5[[#This Row],[$ TB/year]]="",Table5[[#This Row],[Energy$yearPerTB]]=""),"",Table5[[#This Row],[$ TB/year]]+Table5[[#This Row],[Energy$yearPerTB]])</f>
        <v>18.901859999999999</v>
      </c>
      <c r="AC151" s="155">
        <v>21</v>
      </c>
      <c r="AD151" s="156">
        <v>22</v>
      </c>
      <c r="AE151" s="40"/>
    </row>
    <row r="152" spans="1:31" x14ac:dyDescent="0.25">
      <c r="A152" s="1">
        <v>43579</v>
      </c>
      <c r="B152" t="s">
        <v>6</v>
      </c>
      <c r="C152" s="95" t="s">
        <v>55</v>
      </c>
      <c r="D152" s="27" t="s">
        <v>49</v>
      </c>
      <c r="E152" s="81">
        <v>3.5</v>
      </c>
      <c r="F152" s="69">
        <v>2</v>
      </c>
      <c r="G152" s="42">
        <v>5400</v>
      </c>
      <c r="H152" s="5"/>
      <c r="I152" s="5"/>
      <c r="J152" s="61">
        <f>(Table5[[#This Row],[RPM]]/5400-1)</f>
        <v>0</v>
      </c>
      <c r="K152" s="45">
        <v>147</v>
      </c>
      <c r="L152">
        <v>3</v>
      </c>
      <c r="M152" s="36">
        <v>600000</v>
      </c>
      <c r="N152">
        <v>180</v>
      </c>
      <c r="O152" s="36">
        <v>1000000</v>
      </c>
      <c r="P152" s="35">
        <f t="shared" ref="P152:P158" si="22">10^14</f>
        <v>100000000000000</v>
      </c>
      <c r="Q152" s="53">
        <f>12*1.73</f>
        <v>20.759999999999998</v>
      </c>
      <c r="R152" s="5">
        <v>4.0999999999999996</v>
      </c>
      <c r="S152" s="5">
        <v>2.7</v>
      </c>
      <c r="T152" s="107">
        <v>0.4</v>
      </c>
      <c r="U152" s="110">
        <f>(((Table5[[#This Row],[Watts Active]]*Power_On_Hours_Year/1000)*Active_Duty_Cycle)+((Table5[[#This Row],[Watts Idle]]*Power_On_Hours_Year/1000)*(100%-Active_Duty_Cycle)))*CostPerKWH</f>
        <v>3.2652456000000005</v>
      </c>
      <c r="V152" s="141">
        <f>Table5[Energy$year]/Table5[[#This Row],[SizTB]]</f>
        <v>1.6326228000000003</v>
      </c>
      <c r="W152" s="140">
        <v>80.989999999999995</v>
      </c>
      <c r="X152" s="6">
        <f>IF(Table5[[#This Row],[Cost]],Table5[[#This Row],[Cost]]/Table5[[#This Row],[SizTB]]*Exchange_Rate,"")</f>
        <v>40.494999999999997</v>
      </c>
      <c r="Y152" s="145">
        <f>Table5[[#This Row],[Cost]]+((CompareWarrYrs-Table5[[#This Row],[Warranty]])*(Incremental_Warr_Yr*Table5[[#This Row],[Cost]]))*Exchange_Rate</f>
        <v>98.807799999999986</v>
      </c>
      <c r="Z152" s="6">
        <f>IF(Table5[[#This Row],[$+Warr]],Table5[[#This Row],[$+Warr]]/Table5[[#This Row],[SizTB]],"")</f>
        <v>49.403899999999993</v>
      </c>
      <c r="AA152" s="6">
        <f>Table5[[#This Row],[$PerTB]]/CompareWarrYrs</f>
        <v>9.8807799999999979</v>
      </c>
      <c r="AB152" s="6">
        <f>IF(OR(Table5[[#This Row],[$ TB/year]]="",Table5[[#This Row],[Energy$yearPerTB]]=""),"",Table5[[#This Row],[$ TB/year]]+Table5[[#This Row],[Energy$yearPerTB]])</f>
        <v>11.513402799999998</v>
      </c>
      <c r="AC152" s="155">
        <v>23</v>
      </c>
      <c r="AD152" s="156">
        <v>24</v>
      </c>
      <c r="AE152" s="40"/>
    </row>
    <row r="153" spans="1:31" x14ac:dyDescent="0.25">
      <c r="A153" s="1">
        <v>43579</v>
      </c>
      <c r="B153" t="s">
        <v>6</v>
      </c>
      <c r="C153" s="95" t="s">
        <v>55</v>
      </c>
      <c r="D153" s="27" t="s">
        <v>49</v>
      </c>
      <c r="E153" s="81">
        <v>3.5</v>
      </c>
      <c r="F153" s="69">
        <v>3</v>
      </c>
      <c r="G153" s="42">
        <v>5400</v>
      </c>
      <c r="H153" s="5"/>
      <c r="I153" s="5">
        <v>8.9</v>
      </c>
      <c r="J153" s="61">
        <f>(Table5[[#This Row],[RPM]]/5400-1)</f>
        <v>0</v>
      </c>
      <c r="K153" s="45">
        <v>147</v>
      </c>
      <c r="L153">
        <v>3</v>
      </c>
      <c r="M153" s="36">
        <v>600000</v>
      </c>
      <c r="N153">
        <v>180</v>
      </c>
      <c r="O153" s="36">
        <v>1000000</v>
      </c>
      <c r="P153" s="35">
        <f t="shared" si="22"/>
        <v>100000000000000</v>
      </c>
      <c r="Q153" s="53">
        <f>12*1.73</f>
        <v>20.759999999999998</v>
      </c>
      <c r="R153" s="5">
        <v>4.0999999999999996</v>
      </c>
      <c r="S153" s="5">
        <v>2.7</v>
      </c>
      <c r="T153" s="107">
        <v>0.4</v>
      </c>
      <c r="U153" s="110">
        <f>(((Table5[[#This Row],[Watts Active]]*Power_On_Hours_Year/1000)*Active_Duty_Cycle)+((Table5[[#This Row],[Watts Idle]]*Power_On_Hours_Year/1000)*(100%-Active_Duty_Cycle)))*CostPerKWH</f>
        <v>3.2652456000000005</v>
      </c>
      <c r="V153" s="141">
        <f>Table5[Energy$year]/Table5[[#This Row],[SizTB]]</f>
        <v>1.0884152000000002</v>
      </c>
      <c r="W153" s="140">
        <v>89.09</v>
      </c>
      <c r="X153" s="6">
        <f>IF(Table5[[#This Row],[Cost]],Table5[[#This Row],[Cost]]/Table5[[#This Row],[SizTB]]*Exchange_Rate,"")</f>
        <v>29.696666666666669</v>
      </c>
      <c r="Y153" s="145">
        <f>Table5[[#This Row],[Cost]]+((CompareWarrYrs-Table5[[#This Row],[Warranty]])*(Incremental_Warr_Yr*Table5[[#This Row],[Cost]]))*Exchange_Rate</f>
        <v>108.68980000000001</v>
      </c>
      <c r="Z153" s="6">
        <f>IF(Table5[[#This Row],[$+Warr]],Table5[[#This Row],[$+Warr]]/Table5[[#This Row],[SizTB]],"")</f>
        <v>36.229933333333335</v>
      </c>
      <c r="AA153" s="6">
        <f>Table5[[#This Row],[$PerTB]]/CompareWarrYrs</f>
        <v>7.245986666666667</v>
      </c>
      <c r="AB153" s="6">
        <f>IF(OR(Table5[[#This Row],[$ TB/year]]="",Table5[[#This Row],[Energy$yearPerTB]]=""),"",Table5[[#This Row],[$ TB/year]]+Table5[[#This Row],[Energy$yearPerTB]])</f>
        <v>8.334401866666667</v>
      </c>
      <c r="AC153" s="155">
        <v>23</v>
      </c>
      <c r="AD153" s="156">
        <v>24</v>
      </c>
      <c r="AE153" s="40"/>
    </row>
    <row r="154" spans="1:31" x14ac:dyDescent="0.25">
      <c r="A154" s="1">
        <v>43579</v>
      </c>
      <c r="B154" t="s">
        <v>6</v>
      </c>
      <c r="C154" s="95" t="s">
        <v>55</v>
      </c>
      <c r="D154" s="27" t="s">
        <v>49</v>
      </c>
      <c r="E154" s="81">
        <v>3.5</v>
      </c>
      <c r="F154" s="69">
        <v>4</v>
      </c>
      <c r="G154" s="42">
        <v>5400</v>
      </c>
      <c r="H154" s="5"/>
      <c r="I154" s="5"/>
      <c r="J154" s="61">
        <f>(Table5[[#This Row],[RPM]]/5400-1)</f>
        <v>0</v>
      </c>
      <c r="K154" s="45">
        <v>150</v>
      </c>
      <c r="L154">
        <v>3</v>
      </c>
      <c r="M154" s="36">
        <v>600000</v>
      </c>
      <c r="N154">
        <v>180</v>
      </c>
      <c r="O154" s="36">
        <v>1000000</v>
      </c>
      <c r="P154" s="35">
        <f t="shared" si="22"/>
        <v>100000000000000</v>
      </c>
      <c r="Q154" s="53">
        <f>12*1.75</f>
        <v>21</v>
      </c>
      <c r="R154" s="5">
        <v>4.5</v>
      </c>
      <c r="S154" s="5">
        <v>3.3</v>
      </c>
      <c r="T154" s="107">
        <v>0.4</v>
      </c>
      <c r="U154" s="110">
        <f>(((Table5[[#This Row],[Watts Active]]*Power_On_Hours_Year/1000)*Active_Duty_Cycle)+((Table5[[#This Row],[Watts Idle]]*Power_On_Hours_Year/1000)*(100%-Active_Duty_Cycle)))*CostPerKWH</f>
        <v>3.8788488000000001</v>
      </c>
      <c r="V154" s="141">
        <f>Table5[Energy$year]/Table5[[#This Row],[SizTB]]</f>
        <v>0.96971220000000002</v>
      </c>
      <c r="W154" s="140">
        <v>104.99</v>
      </c>
      <c r="X154" s="6">
        <f>IF(Table5[[#This Row],[Cost]],Table5[[#This Row],[Cost]]/Table5[[#This Row],[SizTB]]*Exchange_Rate,"")</f>
        <v>26.247499999999999</v>
      </c>
      <c r="Y154" s="145">
        <f>Table5[[#This Row],[Cost]]+((CompareWarrYrs-Table5[[#This Row],[Warranty]])*(Incremental_Warr_Yr*Table5[[#This Row],[Cost]]))*Exchange_Rate</f>
        <v>128.08779999999999</v>
      </c>
      <c r="Z154" s="6">
        <f>IF(Table5[[#This Row],[$+Warr]],Table5[[#This Row],[$+Warr]]/Table5[[#This Row],[SizTB]],"")</f>
        <v>32.021949999999997</v>
      </c>
      <c r="AA154" s="6">
        <f>Table5[[#This Row],[$PerTB]]/CompareWarrYrs</f>
        <v>6.4043899999999994</v>
      </c>
      <c r="AB154" s="6">
        <f>IF(OR(Table5[[#This Row],[$ TB/year]]="",Table5[[#This Row],[Energy$yearPerTB]]=""),"",Table5[[#This Row],[$ TB/year]]+Table5[[#This Row],[Energy$yearPerTB]])</f>
        <v>7.3741021999999994</v>
      </c>
      <c r="AC154" s="155">
        <v>25</v>
      </c>
      <c r="AD154" s="156">
        <v>28</v>
      </c>
      <c r="AE154" s="40"/>
    </row>
    <row r="155" spans="1:31" x14ac:dyDescent="0.25">
      <c r="A155" s="1">
        <v>43531</v>
      </c>
      <c r="B155" t="s">
        <v>6</v>
      </c>
      <c r="C155" s="95" t="s">
        <v>55</v>
      </c>
      <c r="D155" s="27" t="s">
        <v>49</v>
      </c>
      <c r="E155" s="81">
        <v>3.5</v>
      </c>
      <c r="F155" s="69">
        <v>5</v>
      </c>
      <c r="G155" s="42">
        <v>5400</v>
      </c>
      <c r="H155" s="5"/>
      <c r="I155" s="5"/>
      <c r="J155" s="61">
        <f>(Table5[[#This Row],[RPM]]/5400-1)</f>
        <v>0</v>
      </c>
      <c r="K155" s="45"/>
      <c r="L155">
        <v>3</v>
      </c>
      <c r="M155" s="36">
        <v>600000</v>
      </c>
      <c r="N155">
        <v>180</v>
      </c>
      <c r="O155" s="36">
        <v>1000000</v>
      </c>
      <c r="P155" s="35">
        <f t="shared" si="22"/>
        <v>100000000000000</v>
      </c>
      <c r="Q155" s="53">
        <f>12*1.75</f>
        <v>21</v>
      </c>
      <c r="R155" s="5">
        <v>5.3</v>
      </c>
      <c r="S155" s="5">
        <v>3.4</v>
      </c>
      <c r="T155" s="107">
        <v>0.4</v>
      </c>
      <c r="U155" s="110">
        <f>(((Table5[[#This Row],[Watts Active]]*Power_On_Hours_Year/1000)*Active_Duty_Cycle)+((Table5[[#This Row],[Watts Idle]]*Power_On_Hours_Year/1000)*(100%-Active_Duty_Cycle)))*CostPerKWH</f>
        <v>4.1418216000000001</v>
      </c>
      <c r="V155" s="141">
        <f>Table5[Energy$year]/Table5[[#This Row],[SizTB]]</f>
        <v>0.82836432000000004</v>
      </c>
      <c r="W155" s="140">
        <v>248.99</v>
      </c>
      <c r="X155" s="6">
        <f>IF(Table5[[#This Row],[Cost]],Table5[[#This Row],[Cost]]/Table5[[#This Row],[SizTB]]*Exchange_Rate,"")</f>
        <v>49.798000000000002</v>
      </c>
      <c r="Y155" s="145">
        <f>Table5[[#This Row],[Cost]]+((CompareWarrYrs-Table5[[#This Row],[Warranty]])*(Incremental_Warr_Yr*Table5[[#This Row],[Cost]]))*Exchange_Rate</f>
        <v>303.76780000000002</v>
      </c>
      <c r="Z155" s="6">
        <f>IF(Table5[[#This Row],[$+Warr]],Table5[[#This Row],[$+Warr]]/Table5[[#This Row],[SizTB]],"")</f>
        <v>60.753560000000007</v>
      </c>
      <c r="AA155" s="6">
        <f>Table5[[#This Row],[$PerTB]]/CompareWarrYrs</f>
        <v>12.150712000000002</v>
      </c>
      <c r="AB155" s="6">
        <f>IF(OR(Table5[[#This Row],[$ TB/year]]="",Table5[[#This Row],[Energy$yearPerTB]]=""),"",Table5[[#This Row],[$ TB/year]]+Table5[[#This Row],[Energy$yearPerTB]])</f>
        <v>12.979076320000003</v>
      </c>
      <c r="AC155" s="155"/>
      <c r="AD155" s="156"/>
      <c r="AE155" s="40"/>
    </row>
    <row r="156" spans="1:31" x14ac:dyDescent="0.25">
      <c r="A156" s="1">
        <v>43579</v>
      </c>
      <c r="B156" t="s">
        <v>6</v>
      </c>
      <c r="C156" s="95" t="s">
        <v>55</v>
      </c>
      <c r="D156" s="27" t="s">
        <v>49</v>
      </c>
      <c r="E156" s="81">
        <v>3.5</v>
      </c>
      <c r="F156" s="69">
        <v>6</v>
      </c>
      <c r="G156" s="42">
        <v>5400</v>
      </c>
      <c r="H156" s="5"/>
      <c r="I156" s="5"/>
      <c r="J156" s="61">
        <f>(Table5[[#This Row],[RPM]]/5400-1)</f>
        <v>0</v>
      </c>
      <c r="K156" s="45">
        <v>175</v>
      </c>
      <c r="L156">
        <v>3</v>
      </c>
      <c r="M156" s="36">
        <v>600000</v>
      </c>
      <c r="N156">
        <v>180</v>
      </c>
      <c r="O156" s="36">
        <v>1000000</v>
      </c>
      <c r="P156" s="35">
        <f t="shared" si="22"/>
        <v>100000000000000</v>
      </c>
      <c r="Q156" s="53">
        <f>12*1.75</f>
        <v>21</v>
      </c>
      <c r="R156" s="5">
        <v>5.3</v>
      </c>
      <c r="S156" s="5">
        <v>3.4</v>
      </c>
      <c r="T156" s="107">
        <v>0.4</v>
      </c>
      <c r="U156" s="110">
        <f>(((Table5[[#This Row],[Watts Active]]*Power_On_Hours_Year/1000)*Active_Duty_Cycle)+((Table5[[#This Row],[Watts Idle]]*Power_On_Hours_Year/1000)*(100%-Active_Duty_Cycle)))*CostPerKWH</f>
        <v>4.1418216000000001</v>
      </c>
      <c r="V156" s="141">
        <f>Table5[Energy$year]/Table5[[#This Row],[SizTB]]</f>
        <v>0.69030360000000002</v>
      </c>
      <c r="W156" s="140">
        <v>219.99</v>
      </c>
      <c r="X156" s="6">
        <f>IF(Table5[[#This Row],[Cost]],Table5[[#This Row],[Cost]]/Table5[[#This Row],[SizTB]]*Exchange_Rate,"")</f>
        <v>36.664999999999999</v>
      </c>
      <c r="Y156" s="145">
        <f>Table5[[#This Row],[Cost]]+((CompareWarrYrs-Table5[[#This Row],[Warranty]])*(Incremental_Warr_Yr*Table5[[#This Row],[Cost]]))*Exchange_Rate</f>
        <v>268.38780000000003</v>
      </c>
      <c r="Z156" s="6">
        <f>IF(Table5[[#This Row],[$+Warr]],Table5[[#This Row],[$+Warr]]/Table5[[#This Row],[SizTB]],"")</f>
        <v>44.731300000000005</v>
      </c>
      <c r="AA156" s="6">
        <f>Table5[[#This Row],[$PerTB]]/CompareWarrYrs</f>
        <v>8.9462600000000005</v>
      </c>
      <c r="AB156" s="6">
        <f>IF(OR(Table5[[#This Row],[$ TB/year]]="",Table5[[#This Row],[Energy$yearPerTB]]=""),"",Table5[[#This Row],[$ TB/year]]+Table5[[#This Row],[Energy$yearPerTB]])</f>
        <v>9.6365636000000006</v>
      </c>
      <c r="AC156" s="155">
        <v>25</v>
      </c>
      <c r="AD156" s="156">
        <v>28</v>
      </c>
      <c r="AE156" s="40"/>
    </row>
    <row r="157" spans="1:31" x14ac:dyDescent="0.25">
      <c r="A157" s="1">
        <v>43579</v>
      </c>
      <c r="B157" t="s">
        <v>6</v>
      </c>
      <c r="C157" s="95" t="s">
        <v>55</v>
      </c>
      <c r="D157" s="27" t="s">
        <v>49</v>
      </c>
      <c r="E157" s="81">
        <v>3.5</v>
      </c>
      <c r="F157" s="69">
        <v>8</v>
      </c>
      <c r="G157" s="42">
        <v>5400</v>
      </c>
      <c r="H157" s="5"/>
      <c r="I157" s="5"/>
      <c r="J157" s="61">
        <f>(Table5[[#This Row],[RPM]]/5400-1)</f>
        <v>0</v>
      </c>
      <c r="K157" s="45">
        <v>178</v>
      </c>
      <c r="L157">
        <v>3</v>
      </c>
      <c r="M157" s="36">
        <v>600000</v>
      </c>
      <c r="N157">
        <v>180</v>
      </c>
      <c r="O157" s="36">
        <v>1000000</v>
      </c>
      <c r="P157" s="35">
        <f t="shared" si="22"/>
        <v>100000000000000</v>
      </c>
      <c r="Q157" s="53">
        <f>12*1.79</f>
        <v>21.48</v>
      </c>
      <c r="R157" s="5">
        <v>6.4</v>
      </c>
      <c r="S157" s="5">
        <v>5.2</v>
      </c>
      <c r="T157" s="107">
        <v>0.7</v>
      </c>
      <c r="U157" s="110">
        <f>(((Table5[[#This Row],[Watts Active]]*Power_On_Hours_Year/1000)*Active_Duty_Cycle)+((Table5[[#This Row],[Watts Idle]]*Power_On_Hours_Year/1000)*(100%-Active_Duty_Cycle)))*CostPerKWH</f>
        <v>5.960716800000001</v>
      </c>
      <c r="V157" s="141">
        <f>Table5[Energy$year]/Table5[[#This Row],[SizTB]]</f>
        <v>0.74508960000000013</v>
      </c>
      <c r="W157" s="140">
        <v>249.99</v>
      </c>
      <c r="X157" s="6">
        <f>IF(Table5[[#This Row],[Cost]],Table5[[#This Row],[Cost]]/Table5[[#This Row],[SizTB]]*Exchange_Rate,"")</f>
        <v>31.248750000000001</v>
      </c>
      <c r="Y157" s="145">
        <f>Table5[[#This Row],[Cost]]+((CompareWarrYrs-Table5[[#This Row],[Warranty]])*(Incremental_Warr_Yr*Table5[[#This Row],[Cost]]))*Exchange_Rate</f>
        <v>304.98779999999999</v>
      </c>
      <c r="Z157" s="6">
        <f>IF(Table5[[#This Row],[$+Warr]],Table5[[#This Row],[$+Warr]]/Table5[[#This Row],[SizTB]],"")</f>
        <v>38.123474999999999</v>
      </c>
      <c r="AA157" s="6">
        <f>Table5[[#This Row],[$PerTB]]/CompareWarrYrs</f>
        <v>7.624695</v>
      </c>
      <c r="AB157" s="6">
        <f>IF(OR(Table5[[#This Row],[$ TB/year]]="",Table5[[#This Row],[Energy$yearPerTB]]=""),"",Table5[[#This Row],[$ TB/year]]+Table5[[#This Row],[Energy$yearPerTB]])</f>
        <v>8.3697846000000009</v>
      </c>
      <c r="AC157" s="155">
        <v>20</v>
      </c>
      <c r="AD157" s="156">
        <v>29</v>
      </c>
      <c r="AE157" s="102" t="s">
        <v>37</v>
      </c>
    </row>
    <row r="158" spans="1:31" x14ac:dyDescent="0.25">
      <c r="A158" s="1">
        <v>43579</v>
      </c>
      <c r="B158" t="s">
        <v>6</v>
      </c>
      <c r="C158" s="95" t="s">
        <v>55</v>
      </c>
      <c r="D158" s="27" t="s">
        <v>49</v>
      </c>
      <c r="E158" s="81">
        <v>3.5</v>
      </c>
      <c r="F158" s="69">
        <v>10</v>
      </c>
      <c r="G158" s="42">
        <v>5400</v>
      </c>
      <c r="H158" s="5"/>
      <c r="I158" s="5"/>
      <c r="J158" s="61">
        <f>(Table5[[#This Row],[RPM]]/5400-1)</f>
        <v>0</v>
      </c>
      <c r="K158" s="45">
        <v>210</v>
      </c>
      <c r="L158">
        <v>3</v>
      </c>
      <c r="M158" s="36">
        <v>600000</v>
      </c>
      <c r="N158">
        <v>180</v>
      </c>
      <c r="O158" s="36">
        <v>1000000</v>
      </c>
      <c r="P158" s="35">
        <f t="shared" si="22"/>
        <v>100000000000000</v>
      </c>
      <c r="Q158" s="53">
        <f>12*1.79</f>
        <v>21.48</v>
      </c>
      <c r="R158" s="5">
        <v>5.7</v>
      </c>
      <c r="S158" s="5">
        <v>2.8</v>
      </c>
      <c r="T158" s="107">
        <v>0.5</v>
      </c>
      <c r="U158" s="110">
        <f>(((Table5[[#This Row],[Watts Active]]*Power_On_Hours_Year/1000)*Active_Duty_Cycle)+((Table5[[#This Row],[Watts Idle]]*Power_On_Hours_Year/1000)*(100%-Active_Duty_Cycle)))*CostPerKWH</f>
        <v>3.7035336000000001</v>
      </c>
      <c r="V158" s="141">
        <f>Table5[Energy$year]/Table5[[#This Row],[SizTB]]</f>
        <v>0.37035336000000002</v>
      </c>
      <c r="W158" s="140">
        <v>264.99</v>
      </c>
      <c r="X158" s="6">
        <f>IF(Table5[[#This Row],[Cost]],Table5[[#This Row],[Cost]]/Table5[[#This Row],[SizTB]]*Exchange_Rate,"")</f>
        <v>26.499000000000002</v>
      </c>
      <c r="Y158" s="145">
        <f>Table5[[#This Row],[Cost]]+((CompareWarrYrs-Table5[[#This Row],[Warranty]])*(Incremental_Warr_Yr*Table5[[#This Row],[Cost]]))*Exchange_Rate</f>
        <v>323.2878</v>
      </c>
      <c r="Z158" s="6">
        <f>IF(Table5[[#This Row],[$+Warr]],Table5[[#This Row],[$+Warr]]/Table5[[#This Row],[SizTB]],"")</f>
        <v>32.328780000000002</v>
      </c>
      <c r="AA158" s="6">
        <f>Table5[[#This Row],[$PerTB]]/CompareWarrYrs</f>
        <v>6.4657560000000007</v>
      </c>
      <c r="AB158" s="6">
        <f>IF(OR(Table5[[#This Row],[$ TB/year]]="",Table5[[#This Row],[Energy$yearPerTB]]=""),"",Table5[[#This Row],[$ TB/year]]+Table5[[#This Row],[Energy$yearPerTB]])</f>
        <v>6.8361093600000009</v>
      </c>
      <c r="AC158" s="155">
        <v>20</v>
      </c>
      <c r="AD158" s="156">
        <v>29</v>
      </c>
      <c r="AE158" s="102" t="s">
        <v>37</v>
      </c>
    </row>
    <row r="159" spans="1:31" x14ac:dyDescent="0.25">
      <c r="A159" s="1">
        <v>43531</v>
      </c>
      <c r="B159" t="s">
        <v>6</v>
      </c>
      <c r="C159" s="95" t="s">
        <v>12</v>
      </c>
      <c r="D159" s="27" t="s">
        <v>49</v>
      </c>
      <c r="E159" s="81">
        <v>3.5</v>
      </c>
      <c r="F159" s="69">
        <v>2</v>
      </c>
      <c r="G159" s="42">
        <v>7200</v>
      </c>
      <c r="H159" s="5"/>
      <c r="I159" s="5"/>
      <c r="J159" s="61">
        <f>(Table5[[#This Row],[RPM]]/5400-1)</f>
        <v>0.33333333333333326</v>
      </c>
      <c r="K159" s="45">
        <v>164</v>
      </c>
      <c r="L159">
        <v>5</v>
      </c>
      <c r="M159" s="36">
        <v>600000</v>
      </c>
      <c r="N159">
        <v>300</v>
      </c>
      <c r="O159" s="36">
        <v>1000000</v>
      </c>
      <c r="P159" s="35">
        <v>1000000000000000</v>
      </c>
      <c r="Q159" s="53">
        <f>12*1.9</f>
        <v>22.799999999999997</v>
      </c>
      <c r="R159" s="5">
        <v>7.8</v>
      </c>
      <c r="S159" s="5">
        <v>6</v>
      </c>
      <c r="T159" s="107">
        <v>1.4</v>
      </c>
      <c r="U159" s="110">
        <f>(((Table5[[#This Row],[Watts Active]]*Power_On_Hours_Year/1000)*Active_Duty_Cycle)+((Table5[[#This Row],[Watts Idle]]*Power_On_Hours_Year/1000)*(100%-Active_Duty_Cycle)))*CostPerKWH</f>
        <v>6.9687792000000002</v>
      </c>
      <c r="V159" s="141">
        <f>Table5[Energy$year]/Table5[[#This Row],[SizTB]]</f>
        <v>3.4843896000000001</v>
      </c>
      <c r="W159" s="140">
        <v>119.99</v>
      </c>
      <c r="X159" s="6">
        <f>IF(Table5[[#This Row],[Cost]],Table5[[#This Row],[Cost]]/Table5[[#This Row],[SizTB]]*Exchange_Rate,"")</f>
        <v>59.994999999999997</v>
      </c>
      <c r="Y159" s="145">
        <f>Table5[[#This Row],[Cost]]+((CompareWarrYrs-Table5[[#This Row],[Warranty]])*(Incremental_Warr_Yr*Table5[[#This Row],[Cost]]))*Exchange_Rate</f>
        <v>119.99</v>
      </c>
      <c r="Z159" s="6">
        <f>IF(Table5[[#This Row],[$+Warr]],Table5[[#This Row],[$+Warr]]/Table5[[#This Row],[SizTB]],"")</f>
        <v>59.994999999999997</v>
      </c>
      <c r="AA159" s="6">
        <f>Table5[[#This Row],[$PerTB]]/CompareWarrYrs</f>
        <v>11.998999999999999</v>
      </c>
      <c r="AB159" s="6">
        <f>IF(OR(Table5[[#This Row],[$ TB/year]]="",Table5[[#This Row],[Energy$yearPerTB]]=""),"",Table5[[#This Row],[$ TB/year]]+Table5[[#This Row],[Energy$yearPerTB]])</f>
        <v>15.483389599999999</v>
      </c>
      <c r="AC159" s="155">
        <v>31</v>
      </c>
      <c r="AD159" s="156">
        <v>34</v>
      </c>
      <c r="AE159" s="40"/>
    </row>
    <row r="160" spans="1:31" x14ac:dyDescent="0.25">
      <c r="A160" s="1">
        <v>43298</v>
      </c>
      <c r="B160" t="s">
        <v>6</v>
      </c>
      <c r="C160" s="95" t="s">
        <v>12</v>
      </c>
      <c r="D160" s="27" t="s">
        <v>49</v>
      </c>
      <c r="E160" s="81">
        <v>3.5</v>
      </c>
      <c r="F160" s="69">
        <v>3</v>
      </c>
      <c r="G160" s="42">
        <v>7200</v>
      </c>
      <c r="H160" s="5"/>
      <c r="I160" s="5"/>
      <c r="J160" s="61">
        <f>(Table5[[#This Row],[RPM]]/5400-1)</f>
        <v>0.33333333333333326</v>
      </c>
      <c r="K160" s="45"/>
      <c r="L160">
        <v>5</v>
      </c>
      <c r="M160" s="36">
        <v>600000</v>
      </c>
      <c r="N160">
        <v>300</v>
      </c>
      <c r="O160" s="36">
        <v>1000000</v>
      </c>
      <c r="P160" s="35">
        <v>1000000000000000</v>
      </c>
      <c r="Q160" s="53">
        <f>12*1.9</f>
        <v>22.799999999999997</v>
      </c>
      <c r="R160" s="5">
        <v>8.6</v>
      </c>
      <c r="S160" s="5">
        <v>6.5</v>
      </c>
      <c r="T160" s="107">
        <v>0.6</v>
      </c>
      <c r="U160" s="110">
        <f>(((Table5[[#This Row],[Watts Active]]*Power_On_Hours_Year/1000)*Active_Duty_Cycle)+((Table5[[#This Row],[Watts Idle]]*Power_On_Hours_Year/1000)*(100%-Active_Duty_Cycle)))*CostPerKWH</f>
        <v>7.5823824000000002</v>
      </c>
      <c r="V160" s="141">
        <f>Table5[Energy$year]/Table5[[#This Row],[SizTB]]</f>
        <v>2.5274608000000001</v>
      </c>
      <c r="W160" s="140">
        <v>233.89</v>
      </c>
      <c r="X160" s="6">
        <f>IF(Table5[[#This Row],[Cost]],Table5[[#This Row],[Cost]]/Table5[[#This Row],[SizTB]]*Exchange_Rate,"")</f>
        <v>77.963333333333324</v>
      </c>
      <c r="Y160" s="145">
        <f>Table5[[#This Row],[Cost]]+((CompareWarrYrs-Table5[[#This Row],[Warranty]])*(Incremental_Warr_Yr*Table5[[#This Row],[Cost]]))*Exchange_Rate</f>
        <v>233.89</v>
      </c>
      <c r="Z160" s="6">
        <f>IF(Table5[[#This Row],[$+Warr]],Table5[[#This Row],[$+Warr]]/Table5[[#This Row],[SizTB]],"")</f>
        <v>77.963333333333324</v>
      </c>
      <c r="AA160" s="6">
        <f>Table5[[#This Row],[$PerTB]]/CompareWarrYrs</f>
        <v>15.592666666666664</v>
      </c>
      <c r="AB160" s="6">
        <f>IF(OR(Table5[[#This Row],[$ TB/year]]="",Table5[[#This Row],[Energy$yearPerTB]]=""),"",Table5[[#This Row],[$ TB/year]]+Table5[[#This Row],[Energy$yearPerTB]])</f>
        <v>18.120127466666666</v>
      </c>
      <c r="AC160" s="155"/>
      <c r="AD160" s="156"/>
      <c r="AE160" s="40"/>
    </row>
    <row r="161" spans="1:31" x14ac:dyDescent="0.25">
      <c r="A161" s="1">
        <v>43531</v>
      </c>
      <c r="B161" t="s">
        <v>6</v>
      </c>
      <c r="C161" s="95" t="s">
        <v>12</v>
      </c>
      <c r="D161" s="27" t="s">
        <v>49</v>
      </c>
      <c r="E161" s="81">
        <v>3.5</v>
      </c>
      <c r="F161" s="69">
        <v>4</v>
      </c>
      <c r="G161" s="42">
        <v>7200</v>
      </c>
      <c r="H161" s="5"/>
      <c r="I161" s="5"/>
      <c r="J161" s="61">
        <f>(Table5[[#This Row],[RPM]]/5400-1)</f>
        <v>0.33333333333333326</v>
      </c>
      <c r="K161" s="45">
        <v>202</v>
      </c>
      <c r="L161">
        <v>5</v>
      </c>
      <c r="M161" s="36">
        <v>600000</v>
      </c>
      <c r="N161">
        <v>300</v>
      </c>
      <c r="O161" s="36">
        <v>1000000</v>
      </c>
      <c r="P161" s="35">
        <v>1000000000000000</v>
      </c>
      <c r="Q161" s="53">
        <f>12*1.79</f>
        <v>21.48</v>
      </c>
      <c r="R161" s="5">
        <v>9.1</v>
      </c>
      <c r="S161" s="5">
        <v>7.1</v>
      </c>
      <c r="T161" s="107">
        <v>1</v>
      </c>
      <c r="U161" s="110">
        <f>(((Table5[[#This Row],[Watts Active]]*Power_On_Hours_Year/1000)*Active_Duty_Cycle)+((Table5[[#This Row],[Watts Idle]]*Power_On_Hours_Year/1000)*(100%-Active_Duty_Cycle)))*CostPerKWH</f>
        <v>8.2179000000000002</v>
      </c>
      <c r="V161" s="141">
        <f>Table5[Energy$year]/Table5[[#This Row],[SizTB]]</f>
        <v>2.0544750000000001</v>
      </c>
      <c r="W161" s="140">
        <v>182.99</v>
      </c>
      <c r="X161" s="6">
        <f>IF(Table5[[#This Row],[Cost]],Table5[[#This Row],[Cost]]/Table5[[#This Row],[SizTB]]*Exchange_Rate,"")</f>
        <v>45.747500000000002</v>
      </c>
      <c r="Y161" s="145">
        <f>Table5[[#This Row],[Cost]]+((CompareWarrYrs-Table5[[#This Row],[Warranty]])*(Incremental_Warr_Yr*Table5[[#This Row],[Cost]]))*Exchange_Rate</f>
        <v>182.99</v>
      </c>
      <c r="Z161" s="6">
        <f>IF(Table5[[#This Row],[$+Warr]],Table5[[#This Row],[$+Warr]]/Table5[[#This Row],[SizTB]],"")</f>
        <v>45.747500000000002</v>
      </c>
      <c r="AA161" s="6">
        <f>Table5[[#This Row],[$PerTB]]/CompareWarrYrs</f>
        <v>9.1494999999999997</v>
      </c>
      <c r="AB161" s="6">
        <f>IF(OR(Table5[[#This Row],[$ TB/year]]="",Table5[[#This Row],[Energy$yearPerTB]]=""),"",Table5[[#This Row],[$ TB/year]]+Table5[[#This Row],[Energy$yearPerTB]])</f>
        <v>11.203975</v>
      </c>
      <c r="AC161" s="155">
        <v>29</v>
      </c>
      <c r="AD161" s="156">
        <v>36</v>
      </c>
      <c r="AE161" s="40"/>
    </row>
    <row r="162" spans="1:31" x14ac:dyDescent="0.25">
      <c r="A162" s="1">
        <v>43531</v>
      </c>
      <c r="B162" t="s">
        <v>6</v>
      </c>
      <c r="C162" s="95" t="s">
        <v>12</v>
      </c>
      <c r="D162" s="27" t="s">
        <v>49</v>
      </c>
      <c r="E162" s="81">
        <v>3.5</v>
      </c>
      <c r="F162" s="69">
        <v>6</v>
      </c>
      <c r="G162" s="42">
        <v>7200</v>
      </c>
      <c r="H162" s="5"/>
      <c r="I162" s="5"/>
      <c r="J162" s="61">
        <f>(Table5[[#This Row],[RPM]]/5400-1)</f>
        <v>0.33333333333333326</v>
      </c>
      <c r="K162" s="45">
        <v>227</v>
      </c>
      <c r="L162">
        <v>5</v>
      </c>
      <c r="M162" s="36">
        <v>600000</v>
      </c>
      <c r="N162">
        <v>300</v>
      </c>
      <c r="O162" s="36">
        <v>1000000</v>
      </c>
      <c r="P162" s="35">
        <v>1000000000000000</v>
      </c>
      <c r="Q162" s="53">
        <f>12*1.79</f>
        <v>21.48</v>
      </c>
      <c r="R162" s="5">
        <v>9.1</v>
      </c>
      <c r="S162" s="5">
        <v>7.1</v>
      </c>
      <c r="T162" s="107">
        <v>1</v>
      </c>
      <c r="U162" s="110">
        <f>(((Table5[[#This Row],[Watts Active]]*Power_On_Hours_Year/1000)*Active_Duty_Cycle)+((Table5[[#This Row],[Watts Idle]]*Power_On_Hours_Year/1000)*(100%-Active_Duty_Cycle)))*CostPerKWH</f>
        <v>8.2179000000000002</v>
      </c>
      <c r="V162" s="141">
        <f>Table5[Energy$year]/Table5[[#This Row],[SizTB]]</f>
        <v>1.36965</v>
      </c>
      <c r="W162" s="140">
        <v>224.99</v>
      </c>
      <c r="X162" s="6">
        <f>IF(Table5[[#This Row],[Cost]],Table5[[#This Row],[Cost]]/Table5[[#This Row],[SizTB]]*Exchange_Rate,"")</f>
        <v>37.498333333333335</v>
      </c>
      <c r="Y162" s="145">
        <f>Table5[[#This Row],[Cost]]+((CompareWarrYrs-Table5[[#This Row],[Warranty]])*(Incremental_Warr_Yr*Table5[[#This Row],[Cost]]))*Exchange_Rate</f>
        <v>224.99</v>
      </c>
      <c r="Z162" s="6">
        <f>IF(Table5[[#This Row],[$+Warr]],Table5[[#This Row],[$+Warr]]/Table5[[#This Row],[SizTB]],"")</f>
        <v>37.498333333333335</v>
      </c>
      <c r="AA162" s="6">
        <f>Table5[[#This Row],[$PerTB]]/CompareWarrYrs</f>
        <v>7.4996666666666671</v>
      </c>
      <c r="AB162" s="6">
        <f>IF(OR(Table5[[#This Row],[$ TB/year]]="",Table5[[#This Row],[Energy$yearPerTB]]=""),"",Table5[[#This Row],[$ TB/year]]+Table5[[#This Row],[Energy$yearPerTB]])</f>
        <v>8.8693166666666663</v>
      </c>
      <c r="AC162" s="155">
        <v>29</v>
      </c>
      <c r="AD162" s="156">
        <v>36</v>
      </c>
      <c r="AE162" s="40"/>
    </row>
    <row r="163" spans="1:31" x14ac:dyDescent="0.25">
      <c r="A163" s="1">
        <v>43531</v>
      </c>
      <c r="B163" t="s">
        <v>6</v>
      </c>
      <c r="C163" s="95" t="s">
        <v>12</v>
      </c>
      <c r="D163" s="27" t="s">
        <v>49</v>
      </c>
      <c r="E163" s="81">
        <v>3.5</v>
      </c>
      <c r="F163" s="69">
        <v>8</v>
      </c>
      <c r="G163" s="42">
        <v>7200</v>
      </c>
      <c r="H163" s="5"/>
      <c r="I163" s="5"/>
      <c r="J163" s="61">
        <f>(Table5[[#This Row],[RPM]]/5400-1)</f>
        <v>0.33333333333333326</v>
      </c>
      <c r="K163" s="45">
        <v>205</v>
      </c>
      <c r="L163">
        <v>5</v>
      </c>
      <c r="M163" s="36">
        <v>600000</v>
      </c>
      <c r="N163">
        <v>300</v>
      </c>
      <c r="O163" s="36">
        <v>1000000</v>
      </c>
      <c r="P163" s="35">
        <v>1000000000000000</v>
      </c>
      <c r="Q163" s="53">
        <f>12*1.79</f>
        <v>21.48</v>
      </c>
      <c r="R163" s="5">
        <v>8.3000000000000007</v>
      </c>
      <c r="S163" s="5">
        <v>5.2</v>
      </c>
      <c r="T163" s="107">
        <v>1</v>
      </c>
      <c r="U163" s="110">
        <f>(((Table5[[#This Row],[Watts Active]]*Power_On_Hours_Year/1000)*Active_Duty_Cycle)+((Table5[[#This Row],[Watts Idle]]*Power_On_Hours_Year/1000)*(100%-Active_Duty_Cycle)))*CostPerKWH</f>
        <v>6.377090400000001</v>
      </c>
      <c r="V163" s="141">
        <f>Table5[Energy$year]/Table5[[#This Row],[SizTB]]</f>
        <v>0.79713630000000013</v>
      </c>
      <c r="W163" s="140">
        <v>306.91000000000003</v>
      </c>
      <c r="X163" s="6">
        <f>IF(Table5[[#This Row],[Cost]],Table5[[#This Row],[Cost]]/Table5[[#This Row],[SizTB]]*Exchange_Rate,"")</f>
        <v>38.363750000000003</v>
      </c>
      <c r="Y163" s="145">
        <f>Table5[[#This Row],[Cost]]+((CompareWarrYrs-Table5[[#This Row],[Warranty]])*(Incremental_Warr_Yr*Table5[[#This Row],[Cost]]))*Exchange_Rate</f>
        <v>306.91000000000003</v>
      </c>
      <c r="Z163" s="6">
        <f>IF(Table5[[#This Row],[$+Warr]],Table5[[#This Row],[$+Warr]]/Table5[[#This Row],[SizTB]],"")</f>
        <v>38.363750000000003</v>
      </c>
      <c r="AA163" s="6">
        <f>Table5[[#This Row],[$PerTB]]/CompareWarrYrs</f>
        <v>7.6727500000000006</v>
      </c>
      <c r="AB163" s="6">
        <f>IF(OR(Table5[[#This Row],[$ TB/year]]="",Table5[[#This Row],[Energy$yearPerTB]]=""),"",Table5[[#This Row],[$ TB/year]]+Table5[[#This Row],[Energy$yearPerTB]])</f>
        <v>8.4698863000000006</v>
      </c>
      <c r="AC163" s="155">
        <v>20</v>
      </c>
      <c r="AD163" s="156">
        <v>36</v>
      </c>
      <c r="AE163" s="40"/>
    </row>
    <row r="164" spans="1:31" x14ac:dyDescent="0.25">
      <c r="A164" s="1">
        <v>43562</v>
      </c>
      <c r="B164" t="s">
        <v>6</v>
      </c>
      <c r="C164" s="95" t="s">
        <v>12</v>
      </c>
      <c r="D164" s="106" t="s">
        <v>49</v>
      </c>
      <c r="E164" s="81">
        <v>3.5</v>
      </c>
      <c r="F164" s="99">
        <v>10</v>
      </c>
      <c r="G164" s="42">
        <v>7200</v>
      </c>
      <c r="H164" s="5"/>
      <c r="I164" s="5"/>
      <c r="J164" s="61">
        <v>0.33333333333333326</v>
      </c>
      <c r="K164" s="45">
        <v>240</v>
      </c>
      <c r="L164">
        <v>5</v>
      </c>
      <c r="M164" s="36">
        <v>600000</v>
      </c>
      <c r="N164">
        <v>300</v>
      </c>
      <c r="O164" s="36">
        <v>1000000</v>
      </c>
      <c r="P164" s="35">
        <v>1000000000000000</v>
      </c>
      <c r="Q164" s="53">
        <v>21.6</v>
      </c>
      <c r="R164" s="5">
        <v>5.7</v>
      </c>
      <c r="S164" s="5">
        <v>2.8</v>
      </c>
      <c r="T164" s="107">
        <v>0.5</v>
      </c>
      <c r="U164" s="110">
        <v>3.7035336000000001</v>
      </c>
      <c r="V164" s="172">
        <v>0.37035336000000002</v>
      </c>
      <c r="W164" s="116">
        <v>370.5</v>
      </c>
      <c r="X164" s="193">
        <v>36.982999999999997</v>
      </c>
      <c r="Y164" s="145">
        <v>369.83</v>
      </c>
      <c r="Z164" s="6">
        <v>36.982999999999997</v>
      </c>
      <c r="AA164" s="193">
        <v>7.3965999999999994</v>
      </c>
      <c r="AB164" s="6">
        <v>7.7669533599999996</v>
      </c>
      <c r="AC164" s="155">
        <v>20</v>
      </c>
      <c r="AD164" s="156">
        <v>29</v>
      </c>
      <c r="AE164" s="40"/>
    </row>
    <row r="165" spans="1:31" x14ac:dyDescent="0.25">
      <c r="A165" s="1">
        <v>43562</v>
      </c>
      <c r="B165" t="s">
        <v>6</v>
      </c>
      <c r="C165" s="95" t="s">
        <v>168</v>
      </c>
      <c r="D165" s="106" t="s">
        <v>49</v>
      </c>
      <c r="E165" s="81">
        <v>3.5</v>
      </c>
      <c r="F165" s="99">
        <v>1</v>
      </c>
      <c r="G165" s="42">
        <v>7200</v>
      </c>
      <c r="H165" s="5"/>
      <c r="I165" s="5">
        <v>8.3000000000000007</v>
      </c>
      <c r="J165" s="61">
        <f>(Table5[[#This Row],[RPM]]/5400-1)</f>
        <v>0.33333333333333326</v>
      </c>
      <c r="K165" s="45">
        <v>191</v>
      </c>
      <c r="L165">
        <v>5</v>
      </c>
      <c r="M165" s="36">
        <v>600000</v>
      </c>
      <c r="N165">
        <v>550</v>
      </c>
      <c r="O165" s="36">
        <v>2000000</v>
      </c>
      <c r="P165" s="35">
        <v>1000000000000000</v>
      </c>
      <c r="Q165" s="53"/>
      <c r="R165" s="5">
        <v>8.1</v>
      </c>
      <c r="S165" s="5">
        <v>5.9</v>
      </c>
      <c r="T165" s="107"/>
      <c r="U165" s="110">
        <v>3.7035336000000001</v>
      </c>
      <c r="V165" s="172">
        <v>0.37035336000000002</v>
      </c>
      <c r="W165" s="116">
        <v>87.08</v>
      </c>
      <c r="X165" s="193">
        <f>Table5[[#This Row],[Cost]]/Table5[[#This Row],[SizTB]]*Exchange_Rate</f>
        <v>87.08</v>
      </c>
      <c r="Y165" s="145">
        <f>Table5[[#This Row],[Cost]]+((CompareWarrYrs-Table5[[#This Row],[Warranty]])*(Incremental_Warr_Yr*Table5[[#This Row],[Cost]]))</f>
        <v>87.08</v>
      </c>
      <c r="Z165" s="6">
        <f>Table5[[#This Row],[$+Warr]]/Table5[[#This Row],[SizTB]]</f>
        <v>87.08</v>
      </c>
      <c r="AA165" s="193">
        <f>Table5[[#This Row],[$PerTB]]/CompareWarrYrs</f>
        <v>17.416</v>
      </c>
      <c r="AB165" s="6">
        <f>IF(OR(Table5[[#This Row],[$ TB/year]]="",Table5[[#This Row],[Energy$yearPerTB]]=""),"",Table5[[#This Row],[$ TB/year]]+Table5[[#This Row],[Energy$yearPerTB]])</f>
        <v>17.78635336</v>
      </c>
      <c r="AC165" s="155">
        <v>25</v>
      </c>
      <c r="AD165" s="156">
        <v>28</v>
      </c>
      <c r="AE165" s="102" t="s">
        <v>37</v>
      </c>
    </row>
    <row r="166" spans="1:31" x14ac:dyDescent="0.25">
      <c r="A166" s="1">
        <v>43562</v>
      </c>
      <c r="B166" t="s">
        <v>6</v>
      </c>
      <c r="C166" s="95" t="s">
        <v>168</v>
      </c>
      <c r="D166" s="106" t="s">
        <v>49</v>
      </c>
      <c r="E166" s="81">
        <v>3.5</v>
      </c>
      <c r="F166" s="99">
        <v>2</v>
      </c>
      <c r="G166" s="42">
        <v>7200</v>
      </c>
      <c r="H166" s="5"/>
      <c r="I166" s="5">
        <v>8.3000000000000007</v>
      </c>
      <c r="J166" s="61">
        <f>(Table5[[#This Row],[RPM]]/5400-1)</f>
        <v>0.33333333333333326</v>
      </c>
      <c r="K166" s="45">
        <v>191</v>
      </c>
      <c r="L166">
        <v>5</v>
      </c>
      <c r="M166" s="36">
        <v>600000</v>
      </c>
      <c r="N166">
        <v>550</v>
      </c>
      <c r="O166" s="36">
        <v>2000000</v>
      </c>
      <c r="P166" s="35">
        <v>1000000000000000</v>
      </c>
      <c r="Q166" s="53"/>
      <c r="R166" s="5">
        <v>8.1</v>
      </c>
      <c r="S166" s="5">
        <v>5.9</v>
      </c>
      <c r="T166" s="107"/>
      <c r="U166" s="110">
        <v>3.7035336000000001</v>
      </c>
      <c r="V166" s="172">
        <v>0.37035336000000002</v>
      </c>
      <c r="W166" s="116">
        <v>124.99</v>
      </c>
      <c r="X166" s="193">
        <f>Table5[[#This Row],[Cost]]/Table5[[#This Row],[SizTB]]*Exchange_Rate</f>
        <v>62.494999999999997</v>
      </c>
      <c r="Y166" s="145">
        <f>Table5[[#This Row],[Cost]]+((CompareWarrYrs-Table5[[#This Row],[Warranty]])*(Incremental_Warr_Yr*Table5[[#This Row],[Cost]]))</f>
        <v>124.99</v>
      </c>
      <c r="Z166" s="6">
        <f>Table5[[#This Row],[$+Warr]]/Table5[[#This Row],[SizTB]]</f>
        <v>62.494999999999997</v>
      </c>
      <c r="AA166" s="193">
        <f>Table5[[#This Row],[$PerTB]]/CompareWarrYrs</f>
        <v>12.498999999999999</v>
      </c>
      <c r="AB166" s="6">
        <f>IF(OR(Table5[[#This Row],[$ TB/year]]="",Table5[[#This Row],[Energy$yearPerTB]]=""),"",Table5[[#This Row],[$ TB/year]]+Table5[[#This Row],[Energy$yearPerTB]])</f>
        <v>12.869353359999998</v>
      </c>
      <c r="AC166" s="155">
        <v>25</v>
      </c>
      <c r="AD166" s="156">
        <v>28</v>
      </c>
      <c r="AE166" s="102" t="s">
        <v>37</v>
      </c>
    </row>
    <row r="167" spans="1:31" x14ac:dyDescent="0.25">
      <c r="A167" s="1">
        <v>43562</v>
      </c>
      <c r="B167" t="s">
        <v>6</v>
      </c>
      <c r="C167" s="95" t="s">
        <v>167</v>
      </c>
      <c r="D167" s="106" t="s">
        <v>49</v>
      </c>
      <c r="E167" s="81">
        <v>3.5</v>
      </c>
      <c r="F167" s="99">
        <v>4</v>
      </c>
      <c r="G167" s="42">
        <v>7200</v>
      </c>
      <c r="H167" s="5"/>
      <c r="I167" s="5">
        <v>8.6</v>
      </c>
      <c r="J167" s="61">
        <f>(Table5[[#This Row],[RPM]]/5400-1)</f>
        <v>0.33333333333333326</v>
      </c>
      <c r="K167" s="45">
        <v>243</v>
      </c>
      <c r="L167">
        <v>5</v>
      </c>
      <c r="M167" s="36">
        <v>600000</v>
      </c>
      <c r="N167">
        <v>550</v>
      </c>
      <c r="O167" s="36">
        <v>2000000</v>
      </c>
      <c r="P167" s="35">
        <v>1000000000000000</v>
      </c>
      <c r="Q167" s="53"/>
      <c r="R167" s="5">
        <v>7</v>
      </c>
      <c r="S167" s="5">
        <v>5.9</v>
      </c>
      <c r="T167" s="107"/>
      <c r="U167" s="110">
        <v>3.7035336000000001</v>
      </c>
      <c r="V167" s="172">
        <v>0.37035336000000002</v>
      </c>
      <c r="W167" s="116">
        <v>174.99</v>
      </c>
      <c r="X167" s="193">
        <f>Table5[[#This Row],[Cost]]/Table5[[#This Row],[SizTB]]*Exchange_Rate</f>
        <v>43.747500000000002</v>
      </c>
      <c r="Y167" s="145">
        <f>Table5[[#This Row],[Cost]]+((CompareWarrYrs-Table5[[#This Row],[Warranty]])*(Incremental_Warr_Yr*Table5[[#This Row],[Cost]]))</f>
        <v>174.99</v>
      </c>
      <c r="Z167" s="6">
        <f>Table5[[#This Row],[$+Warr]]/Table5[[#This Row],[SizTB]]</f>
        <v>43.747500000000002</v>
      </c>
      <c r="AA167" s="193">
        <f>Table5[[#This Row],[$PerTB]]/CompareWarrYrs</f>
        <v>8.7495000000000012</v>
      </c>
      <c r="AB167" s="6">
        <f>IF(OR(Table5[[#This Row],[$ TB/year]]="",Table5[[#This Row],[Energy$yearPerTB]]=""),"",Table5[[#This Row],[$ TB/year]]+Table5[[#This Row],[Energy$yearPerTB]])</f>
        <v>9.1198533600000005</v>
      </c>
      <c r="AC167" s="155">
        <v>29</v>
      </c>
      <c r="AD167" s="156">
        <v>36</v>
      </c>
      <c r="AE167" s="102" t="s">
        <v>37</v>
      </c>
    </row>
    <row r="168" spans="1:31" x14ac:dyDescent="0.25">
      <c r="A168" s="1">
        <v>43562</v>
      </c>
      <c r="B168" t="s">
        <v>6</v>
      </c>
      <c r="C168" s="95" t="s">
        <v>167</v>
      </c>
      <c r="D168" s="106" t="s">
        <v>49</v>
      </c>
      <c r="E168" s="81">
        <v>3.5</v>
      </c>
      <c r="F168" s="99">
        <v>6</v>
      </c>
      <c r="G168" s="42">
        <v>7200</v>
      </c>
      <c r="H168" s="5"/>
      <c r="I168" s="5">
        <v>8.6</v>
      </c>
      <c r="J168" s="61">
        <f>(Table5[[#This Row],[RPM]]/5400-1)</f>
        <v>0.33333333333333326</v>
      </c>
      <c r="K168" s="45">
        <v>243</v>
      </c>
      <c r="L168">
        <v>5</v>
      </c>
      <c r="M168" s="36">
        <v>600000</v>
      </c>
      <c r="N168">
        <v>550</v>
      </c>
      <c r="O168" s="36">
        <v>2000000</v>
      </c>
      <c r="P168" s="35">
        <v>1000000000000000</v>
      </c>
      <c r="Q168" s="53"/>
      <c r="R168" s="5">
        <v>7</v>
      </c>
      <c r="S168" s="5">
        <v>5.9</v>
      </c>
      <c r="T168" s="107"/>
      <c r="U168" s="110">
        <v>3.7035336000000001</v>
      </c>
      <c r="V168" s="172">
        <v>0.37035336000000002</v>
      </c>
      <c r="W168" s="116">
        <v>207.99</v>
      </c>
      <c r="X168" s="193">
        <f>Table5[[#This Row],[Cost]]/Table5[[#This Row],[SizTB]]*Exchange_Rate</f>
        <v>34.664999999999999</v>
      </c>
      <c r="Y168" s="145">
        <f>Table5[[#This Row],[Cost]]+((CompareWarrYrs-Table5[[#This Row],[Warranty]])*(Incremental_Warr_Yr*Table5[[#This Row],[Cost]]))</f>
        <v>207.99</v>
      </c>
      <c r="Z168" s="6">
        <f>Table5[[#This Row],[$+Warr]]/Table5[[#This Row],[SizTB]]</f>
        <v>34.664999999999999</v>
      </c>
      <c r="AA168" s="193">
        <f>Table5[[#This Row],[$PerTB]]/CompareWarrYrs</f>
        <v>6.9329999999999998</v>
      </c>
      <c r="AB168" s="6">
        <f>IF(OR(Table5[[#This Row],[$ TB/year]]="",Table5[[#This Row],[Energy$yearPerTB]]=""),"",Table5[[#This Row],[$ TB/year]]+Table5[[#This Row],[Energy$yearPerTB]])</f>
        <v>7.30335336</v>
      </c>
      <c r="AC168" s="155">
        <v>29</v>
      </c>
      <c r="AD168" s="156">
        <v>36</v>
      </c>
      <c r="AE168" s="102" t="s">
        <v>37</v>
      </c>
    </row>
    <row r="169" spans="1:31" x14ac:dyDescent="0.25">
      <c r="A169" s="1">
        <v>43562</v>
      </c>
      <c r="B169" t="s">
        <v>6</v>
      </c>
      <c r="C169" s="95" t="s">
        <v>166</v>
      </c>
      <c r="D169" s="106" t="s">
        <v>49</v>
      </c>
      <c r="E169" s="81">
        <v>3.5</v>
      </c>
      <c r="F169" s="99">
        <v>8</v>
      </c>
      <c r="G169" s="42">
        <v>7200</v>
      </c>
      <c r="H169" s="5"/>
      <c r="I169" s="5">
        <v>8.6</v>
      </c>
      <c r="J169" s="61">
        <f>(Table5[[#This Row],[RPM]]/5400-1)</f>
        <v>0.33333333333333326</v>
      </c>
      <c r="K169" s="45">
        <v>243</v>
      </c>
      <c r="L169">
        <v>5</v>
      </c>
      <c r="M169" s="36">
        <v>600000</v>
      </c>
      <c r="N169">
        <v>550</v>
      </c>
      <c r="O169" s="36">
        <v>2500000</v>
      </c>
      <c r="P169" s="35">
        <v>1000000000000000</v>
      </c>
      <c r="Q169" s="53"/>
      <c r="R169" s="5">
        <v>8.8000000000000007</v>
      </c>
      <c r="S169" s="5">
        <v>7.4</v>
      </c>
      <c r="T169" s="107"/>
      <c r="U169" s="110">
        <v>3.7035336000000001</v>
      </c>
      <c r="V169" s="172">
        <v>0.37035336000000002</v>
      </c>
      <c r="W169" s="116">
        <v>258.45</v>
      </c>
      <c r="X169" s="193">
        <f>Table5[[#This Row],[Cost]]/Table5[[#This Row],[SizTB]]*Exchange_Rate</f>
        <v>32.306249999999999</v>
      </c>
      <c r="Y169" s="145">
        <f>Table5[[#This Row],[Cost]]+((CompareWarrYrs-Table5[[#This Row],[Warranty]])*(Incremental_Warr_Yr*Table5[[#This Row],[Cost]]))</f>
        <v>258.45</v>
      </c>
      <c r="Z169" s="6">
        <f>Table5[[#This Row],[$+Warr]]/Table5[[#This Row],[SizTB]]</f>
        <v>32.306249999999999</v>
      </c>
      <c r="AA169" s="193">
        <f>Table5[[#This Row],[$PerTB]]/CompareWarrYrs</f>
        <v>6.4612499999999997</v>
      </c>
      <c r="AB169" s="6">
        <f>IF(OR(Table5[[#This Row],[$ TB/year]]="",Table5[[#This Row],[Energy$yearPerTB]]=""),"",Table5[[#This Row],[$ TB/year]]+Table5[[#This Row],[Energy$yearPerTB]])</f>
        <v>6.8316033599999999</v>
      </c>
      <c r="AC169" s="155">
        <v>29</v>
      </c>
      <c r="AD169" s="156">
        <v>36</v>
      </c>
      <c r="AE169" s="102" t="s">
        <v>37</v>
      </c>
    </row>
    <row r="170" spans="1:31" x14ac:dyDescent="0.25">
      <c r="A170" s="1">
        <v>43562</v>
      </c>
      <c r="B170" t="s">
        <v>6</v>
      </c>
      <c r="C170" s="95" t="s">
        <v>165</v>
      </c>
      <c r="D170" s="106" t="s">
        <v>49</v>
      </c>
      <c r="E170" s="81">
        <v>3.5</v>
      </c>
      <c r="F170" s="99">
        <v>10</v>
      </c>
      <c r="G170" s="42">
        <v>7200</v>
      </c>
      <c r="H170" s="5"/>
      <c r="I170" s="5">
        <v>8.6</v>
      </c>
      <c r="J170" s="61">
        <f>(Table5[[#This Row],[RPM]]/5400-1)</f>
        <v>0.33333333333333326</v>
      </c>
      <c r="K170" s="45">
        <v>237</v>
      </c>
      <c r="L170">
        <v>5</v>
      </c>
      <c r="M170" s="36">
        <v>600000</v>
      </c>
      <c r="N170">
        <v>550</v>
      </c>
      <c r="O170" s="36">
        <v>2500000</v>
      </c>
      <c r="P170" s="35">
        <v>1000000000000000</v>
      </c>
      <c r="Q170" s="53"/>
      <c r="R170" s="5">
        <v>6.8</v>
      </c>
      <c r="S170" s="5">
        <v>5</v>
      </c>
      <c r="T170" s="107"/>
      <c r="U170" s="110">
        <v>3.7035336000000001</v>
      </c>
      <c r="V170" s="172">
        <v>0.37035336000000002</v>
      </c>
      <c r="W170" s="116">
        <v>379.99</v>
      </c>
      <c r="X170" s="193">
        <f>Table5[[#This Row],[Cost]]/Table5[[#This Row],[SizTB]]*Exchange_Rate</f>
        <v>37.999000000000002</v>
      </c>
      <c r="Y170" s="145">
        <f>Table5[[#This Row],[Cost]]+((CompareWarrYrs-Table5[[#This Row],[Warranty]])*(Incremental_Warr_Yr*Table5[[#This Row],[Cost]]))</f>
        <v>379.99</v>
      </c>
      <c r="Z170" s="6">
        <f>Table5[[#This Row],[$+Warr]]/Table5[[#This Row],[SizTB]]</f>
        <v>37.999000000000002</v>
      </c>
      <c r="AA170" s="193">
        <f>Table5[[#This Row],[$PerTB]]/CompareWarrYrs</f>
        <v>7.5998000000000001</v>
      </c>
      <c r="AB170" s="6">
        <f>IF(OR(Table5[[#This Row],[$ TB/year]]="",Table5[[#This Row],[Energy$yearPerTB]]=""),"",Table5[[#This Row],[$ TB/year]]+Table5[[#This Row],[Energy$yearPerTB]])</f>
        <v>7.9701533600000003</v>
      </c>
      <c r="AC170" s="155">
        <v>20</v>
      </c>
      <c r="AD170" s="156">
        <v>36</v>
      </c>
      <c r="AE170" s="102" t="s">
        <v>37</v>
      </c>
    </row>
    <row r="171" spans="1:31" x14ac:dyDescent="0.25">
      <c r="A171" s="1">
        <v>43562</v>
      </c>
      <c r="B171" t="s">
        <v>6</v>
      </c>
      <c r="C171" s="95" t="s">
        <v>164</v>
      </c>
      <c r="D171" s="106" t="s">
        <v>49</v>
      </c>
      <c r="E171" s="81">
        <v>3.5</v>
      </c>
      <c r="F171" s="99">
        <v>12</v>
      </c>
      <c r="G171" s="42">
        <v>7200</v>
      </c>
      <c r="H171" s="5"/>
      <c r="I171" s="5">
        <v>8.6</v>
      </c>
      <c r="J171" s="61">
        <f>(Table5[[#This Row],[RPM]]/5400-1)</f>
        <v>0.33333333333333326</v>
      </c>
      <c r="K171" s="45">
        <v>243</v>
      </c>
      <c r="L171">
        <v>5</v>
      </c>
      <c r="M171" s="36">
        <v>600000</v>
      </c>
      <c r="N171">
        <v>550</v>
      </c>
      <c r="O171" s="36">
        <v>2500000</v>
      </c>
      <c r="P171" s="35">
        <v>1000000000000000</v>
      </c>
      <c r="Q171" s="53"/>
      <c r="R171" s="5">
        <v>6.3</v>
      </c>
      <c r="S171" s="5">
        <v>5</v>
      </c>
      <c r="T171" s="107"/>
      <c r="U171" s="110">
        <v>3.7035336000000001</v>
      </c>
      <c r="V171" s="172">
        <v>0.37035336000000002</v>
      </c>
      <c r="W171" s="116">
        <v>404.99</v>
      </c>
      <c r="X171" s="193">
        <f>Table5[[#This Row],[Cost]]/Table5[[#This Row],[SizTB]]*Exchange_Rate</f>
        <v>33.749166666666667</v>
      </c>
      <c r="Y171" s="145">
        <f>Table5[[#This Row],[Cost]]+((CompareWarrYrs-Table5[[#This Row],[Warranty]])*(Incremental_Warr_Yr*Table5[[#This Row],[Cost]]))</f>
        <v>404.99</v>
      </c>
      <c r="Z171" s="6">
        <f>Table5[[#This Row],[$+Warr]]/Table5[[#This Row],[SizTB]]</f>
        <v>33.749166666666667</v>
      </c>
      <c r="AA171" s="193">
        <f>Table5[[#This Row],[$PerTB]]/CompareWarrYrs</f>
        <v>6.7498333333333331</v>
      </c>
      <c r="AB171" s="6">
        <f>IF(OR(Table5[[#This Row],[$ TB/year]]="",Table5[[#This Row],[Energy$yearPerTB]]=""),"",Table5[[#This Row],[$ TB/year]]+Table5[[#This Row],[Energy$yearPerTB]])</f>
        <v>7.1201866933333333</v>
      </c>
      <c r="AC171" s="155">
        <v>20</v>
      </c>
      <c r="AD171" s="156">
        <v>36</v>
      </c>
      <c r="AE171" s="102" t="s">
        <v>37</v>
      </c>
    </row>
    <row r="172" spans="1:31" ht="15.75" thickBot="1" x14ac:dyDescent="0.3">
      <c r="A172" s="1">
        <v>43562</v>
      </c>
      <c r="B172" t="s">
        <v>6</v>
      </c>
      <c r="C172" s="95" t="s">
        <v>163</v>
      </c>
      <c r="D172" s="106" t="s">
        <v>49</v>
      </c>
      <c r="E172" s="81">
        <v>3.5</v>
      </c>
      <c r="F172" s="69">
        <v>14</v>
      </c>
      <c r="G172" s="43">
        <v>7200</v>
      </c>
      <c r="H172" s="5"/>
      <c r="I172" s="5">
        <v>7.5</v>
      </c>
      <c r="J172" s="61">
        <f>(Table5[[#This Row],[RPM]]/5400-1)</f>
        <v>0.33333333333333326</v>
      </c>
      <c r="K172" s="46">
        <v>255</v>
      </c>
      <c r="L172">
        <v>5</v>
      </c>
      <c r="M172" s="36">
        <v>600000</v>
      </c>
      <c r="N172">
        <v>550</v>
      </c>
      <c r="O172" s="36">
        <v>2500000</v>
      </c>
      <c r="P172" s="35">
        <v>1000000000000000</v>
      </c>
      <c r="Q172" s="53"/>
      <c r="R172" s="5">
        <v>7.6</v>
      </c>
      <c r="S172" s="5">
        <v>5.6</v>
      </c>
      <c r="T172" s="107"/>
      <c r="U172" s="111">
        <f>(((Table5[[#This Row],[Watts Active]]*Power_On_Hours_Year/1000)*Active_Duty_Cycle)+((Table5[[#This Row],[Watts Idle]]*Power_On_Hours_Year/1000)*(100%-Active_Duty_Cycle)))*CostPerKWH</f>
        <v>6.5743200000000002</v>
      </c>
      <c r="V172" s="143">
        <f>Table5[Energy$year]/Table5[[#This Row],[SizTB]]</f>
        <v>0.46959428571428574</v>
      </c>
      <c r="W172" s="140">
        <v>529.99</v>
      </c>
      <c r="X172" s="6">
        <f>IF(Table5[[#This Row],[Cost]],Table5[[#This Row],[Cost]]/Table5[[#This Row],[SizTB]]*Exchange_Rate,"")</f>
        <v>37.856428571428573</v>
      </c>
      <c r="Y172" s="146">
        <f>Table5[[#This Row],[Cost]]+((CompareWarrYrs-Table5[[#This Row],[Warranty]])*(Incremental_Warr_Yr*Table5[[#This Row],[Cost]]))*Exchange_Rate</f>
        <v>529.99</v>
      </c>
      <c r="Z172" s="6">
        <f>IF(Table5[[#This Row],[$+Warr]],Table5[[#This Row],[$+Warr]]/Table5[[#This Row],[SizTB]],"")</f>
        <v>37.856428571428573</v>
      </c>
      <c r="AA172" s="6">
        <f>Table5[[#This Row],[$PerTB]]/CompareWarrYrs</f>
        <v>7.5712857142857146</v>
      </c>
      <c r="AB172" s="6">
        <f>IF(OR(Table5[[#This Row],[$ TB/year]]="",Table5[[#This Row],[Energy$yearPerTB]]=""),"",Table5[[#This Row],[$ TB/year]]+Table5[[#This Row],[Energy$yearPerTB]])</f>
        <v>8.0408799999999996</v>
      </c>
      <c r="AC172" s="155">
        <v>20</v>
      </c>
      <c r="AD172" s="156">
        <v>36</v>
      </c>
      <c r="AE172" s="102" t="s">
        <v>37</v>
      </c>
    </row>
    <row r="173" spans="1:31" ht="15.75" thickBot="1" x14ac:dyDescent="0.3">
      <c r="A173" s="1">
        <v>43562</v>
      </c>
      <c r="B173" t="s">
        <v>6</v>
      </c>
      <c r="C173" s="95" t="s">
        <v>169</v>
      </c>
      <c r="D173" s="106" t="s">
        <v>108</v>
      </c>
      <c r="E173" s="81">
        <v>3.5</v>
      </c>
      <c r="F173" s="69">
        <v>14</v>
      </c>
      <c r="G173" s="43">
        <v>7200</v>
      </c>
      <c r="H173" s="5">
        <v>4.16</v>
      </c>
      <c r="I173" s="5">
        <v>12</v>
      </c>
      <c r="J173" s="61">
        <f>(Table5[[#This Row],[RPM]]/5400-1)</f>
        <v>0.33333333333333326</v>
      </c>
      <c r="K173" s="45">
        <v>223</v>
      </c>
      <c r="L173">
        <v>5</v>
      </c>
      <c r="M173" s="36">
        <v>600000</v>
      </c>
      <c r="O173" s="36">
        <v>2500000</v>
      </c>
      <c r="P173" s="35">
        <v>1000000000000000</v>
      </c>
      <c r="Q173" s="53"/>
      <c r="R173" s="5">
        <v>6.4</v>
      </c>
      <c r="S173" s="5">
        <v>5.2</v>
      </c>
      <c r="T173" s="107"/>
      <c r="U173" s="111">
        <f>(((Table5[[#This Row],[Watts Active]]*Power_On_Hours_Year/1000)*Active_Duty_Cycle)+((Table5[[#This Row],[Watts Idle]]*Power_On_Hours_Year/1000)*(100%-Active_Duty_Cycle)))*CostPerKWH</f>
        <v>5.960716800000001</v>
      </c>
      <c r="V173" s="143">
        <f>Table5[Energy$year]/Table5[[#This Row],[SizTB]]</f>
        <v>0.4257654857142858</v>
      </c>
      <c r="W173" s="140">
        <v>599</v>
      </c>
      <c r="X173" s="6">
        <f>IF(Table5[[#This Row],[Cost]],Table5[[#This Row],[Cost]]/Table5[[#This Row],[SizTB]]*Exchange_Rate,"")</f>
        <v>42.785714285714285</v>
      </c>
      <c r="Y173" s="146">
        <f>Table5[[#This Row],[Cost]]+((CompareWarrYrs-Table5[[#This Row],[Warranty]])*(Incremental_Warr_Yr*Table5[[#This Row],[Cost]]))*Exchange_Rate</f>
        <v>599</v>
      </c>
      <c r="Z173" s="6">
        <f>IF(Table5[[#This Row],[$+Warr]],Table5[[#This Row],[$+Warr]]/Table5[[#This Row],[SizTB]],"")</f>
        <v>42.785714285714285</v>
      </c>
      <c r="AA173" s="6">
        <f>Table5[[#This Row],[$PerTB]]/CompareWarrYrs</f>
        <v>8.5571428571428569</v>
      </c>
      <c r="AB173" s="6">
        <f>IF(OR(Table5[[#This Row],[$ TB/year]]="",Table5[[#This Row],[Energy$yearPerTB]]=""),"",Table5[[#This Row],[$ TB/year]]+Table5[[#This Row],[Energy$yearPerTB]])</f>
        <v>8.9829083428571419</v>
      </c>
      <c r="AC173" s="155">
        <v>20</v>
      </c>
      <c r="AD173" s="156">
        <v>36</v>
      </c>
      <c r="AE173" s="102" t="s">
        <v>37</v>
      </c>
    </row>
    <row r="174" spans="1:31" ht="15.75" thickBot="1" x14ac:dyDescent="0.3">
      <c r="A174" s="1">
        <v>43562</v>
      </c>
      <c r="B174" t="s">
        <v>6</v>
      </c>
      <c r="C174" s="95" t="s">
        <v>169</v>
      </c>
      <c r="D174" s="106" t="s">
        <v>108</v>
      </c>
      <c r="E174" s="81">
        <v>3.5</v>
      </c>
      <c r="F174" s="69">
        <v>15</v>
      </c>
      <c r="G174" s="43">
        <v>7200</v>
      </c>
      <c r="H174" s="5">
        <v>4.16</v>
      </c>
      <c r="I174" s="5">
        <v>12</v>
      </c>
      <c r="J174" s="61">
        <f>(Table5[[#This Row],[RPM]]/5400-1)</f>
        <v>0.33333333333333326</v>
      </c>
      <c r="K174" s="46">
        <v>244</v>
      </c>
      <c r="L174">
        <v>5</v>
      </c>
      <c r="M174" s="36">
        <v>600000</v>
      </c>
      <c r="O174" s="36">
        <v>2500000</v>
      </c>
      <c r="P174" s="35">
        <v>1000000000000000</v>
      </c>
      <c r="Q174" s="53"/>
      <c r="R174" s="5">
        <v>6.4</v>
      </c>
      <c r="S174" s="5">
        <v>5.2</v>
      </c>
      <c r="T174" s="107"/>
      <c r="U174" s="111">
        <f>(((Table5[[#This Row],[Watts Active]]*Power_On_Hours_Year/1000)*Active_Duty_Cycle)+((Table5[[#This Row],[Watts Idle]]*Power_On_Hours_Year/1000)*(100%-Active_Duty_Cycle)))*CostPerKWH</f>
        <v>5.960716800000001</v>
      </c>
      <c r="V174" s="143">
        <f>Table5[Energy$year]/Table5[[#This Row],[SizTB]]</f>
        <v>0.39738112000000009</v>
      </c>
      <c r="W174" s="140"/>
      <c r="X174" s="6" t="str">
        <f>IF(Table5[[#This Row],[Cost]],Table5[[#This Row],[Cost]]/Table5[[#This Row],[SizTB]]*Exchange_Rate,"")</f>
        <v/>
      </c>
      <c r="Y174" s="146">
        <f>Table5[[#This Row],[Cost]]+((CompareWarrYrs-Table5[[#This Row],[Warranty]])*(Incremental_Warr_Yr*Table5[[#This Row],[Cost]]))*Exchange_Rate</f>
        <v>0</v>
      </c>
      <c r="Z174" s="6" t="str">
        <f>IF(Table5[[#This Row],[$+Warr]],Table5[[#This Row],[$+Warr]]/Table5[[#This Row],[SizTB]],"")</f>
        <v/>
      </c>
      <c r="AA174" s="6">
        <v>0</v>
      </c>
      <c r="AB174" s="6">
        <v>0</v>
      </c>
      <c r="AC174" s="155">
        <v>20</v>
      </c>
      <c r="AD174" s="156">
        <v>36</v>
      </c>
      <c r="AE174" s="102" t="s">
        <v>37</v>
      </c>
    </row>
    <row r="175" spans="1:31" ht="15.75" thickBot="1" x14ac:dyDescent="0.3">
      <c r="A175" s="7"/>
      <c r="B175" s="7"/>
      <c r="C175" s="7"/>
      <c r="D175" s="12" t="s">
        <v>23</v>
      </c>
      <c r="E175" s="83">
        <f>MIN(Table5[FormFactor])</f>
        <v>2.5</v>
      </c>
      <c r="F175" s="57">
        <f>MIN(Table5[SizTB])</f>
        <v>0.6</v>
      </c>
      <c r="G175" s="122">
        <f>MIN(Table5[RPM])</f>
        <v>5400</v>
      </c>
      <c r="H175" s="13">
        <f>MIN(Table5[AvgLatency])</f>
        <v>1.99</v>
      </c>
      <c r="I175" s="13">
        <f>MIN(Table5[SeekT])</f>
        <v>2.9</v>
      </c>
      <c r="J175" s="13">
        <f>MIN(Table5[PerfCmp])</f>
        <v>0</v>
      </c>
      <c r="K175" s="62">
        <f>MIN(Table5[XferRate])</f>
        <v>99</v>
      </c>
      <c r="L175" s="50">
        <f>MIN(Table5[Warranty])</f>
        <v>2</v>
      </c>
      <c r="M175" s="37">
        <f>MIN(Table5[CycleCnt])</f>
        <v>300000</v>
      </c>
      <c r="N175" s="13">
        <f>MIN(Table5[WorkLoad])</f>
        <v>55</v>
      </c>
      <c r="O175" s="37">
        <f>MIN(Table5[MTBF])</f>
        <v>500000</v>
      </c>
      <c r="P175" s="47">
        <f>MIN(Table5[RErrRate])</f>
        <v>100000000000000</v>
      </c>
      <c r="Q175" s="54">
        <f>MIN(Table5[MaxStartupWatts])</f>
        <v>4.5</v>
      </c>
      <c r="R175" s="13">
        <f>MIN(R3:R174)</f>
        <v>1.4</v>
      </c>
      <c r="S175" s="13">
        <f>MIN(S3:S174)</f>
        <v>0.45</v>
      </c>
      <c r="T175" s="108">
        <f>MIN(Table5[WattsStandby])</f>
        <v>0.1</v>
      </c>
      <c r="U175" s="112">
        <f>MIN(Table5[Energy$year])</f>
        <v>0</v>
      </c>
      <c r="V175" s="124">
        <f>MIN(Table5[Energy$yearPerTB])</f>
        <v>0</v>
      </c>
      <c r="W175" s="112">
        <f>MIN(Table5[Cost])</f>
        <v>39.99</v>
      </c>
      <c r="X175" s="167">
        <f>MIN(Table5[$ TB])</f>
        <v>21.247499999999999</v>
      </c>
      <c r="Y175" s="169">
        <f>MIN(Table5[$ TB])</f>
        <v>21.247499999999999</v>
      </c>
      <c r="Z175" s="14">
        <f>MIN(Table5[$PerTB])</f>
        <v>27.665000000000003</v>
      </c>
      <c r="AA175" s="124">
        <f>MIN(Table5[$ TB/year])</f>
        <v>0</v>
      </c>
      <c r="AB175" s="124">
        <f>MIN(Table5[$TB/Yr+Power])</f>
        <v>0</v>
      </c>
      <c r="AC175" s="158">
        <f>MIN(Table5[DBA_Idle])</f>
        <v>20</v>
      </c>
      <c r="AD175" s="159">
        <f>MIN(Table5[DBA_Seek])</f>
        <v>22</v>
      </c>
    </row>
    <row r="176" spans="1:31" ht="15.75" thickBot="1" x14ac:dyDescent="0.3">
      <c r="B176" s="4"/>
      <c r="D176" s="15" t="s">
        <v>34</v>
      </c>
      <c r="E176" s="84">
        <f>AVERAGE(Table5[FormFactor])</f>
        <v>3.3197674418604652</v>
      </c>
      <c r="F176" s="58">
        <f>AVERAGE(Table5[SizTB])</f>
        <v>5.5433139534883713</v>
      </c>
      <c r="G176" s="123">
        <f>AVERAGE(Table5[RPM])</f>
        <v>7185.1744186046508</v>
      </c>
      <c r="H176" s="16">
        <f>AVERAGE(Table5[AvgLatency])</f>
        <v>4.1801010101010156</v>
      </c>
      <c r="I176" s="16">
        <f>AVERAGE(Table5[SeekT])</f>
        <v>9.5938709677419372</v>
      </c>
      <c r="J176" s="16">
        <f>AVERAGE(Table5[PerfCmp])</f>
        <v>0.33058785529715812</v>
      </c>
      <c r="K176" s="63">
        <f>AVERAGE(Table5[XferRate])</f>
        <v>201.94901960784316</v>
      </c>
      <c r="L176" s="51">
        <f>AVERAGE(Table5[Warranty])</f>
        <v>3.9333333333333331</v>
      </c>
      <c r="M176" s="38">
        <f>AVERAGE(Table5[CycleCnt])</f>
        <v>544370.86092715233</v>
      </c>
      <c r="N176" s="16">
        <f>AVERAGE(Table5[WorkLoad])</f>
        <v>359.91071428571428</v>
      </c>
      <c r="O176" s="38">
        <f>AVERAGE(O3:O174)</f>
        <v>1699186.9918699188</v>
      </c>
      <c r="P176" s="48">
        <f>AVERAGE(Table5[RErrRate])</f>
        <v>5148520710059172</v>
      </c>
      <c r="Q176" s="55">
        <f>AVERAGE(Table5[MaxStartupWatts])</f>
        <v>20.822192771084335</v>
      </c>
      <c r="R176" s="16">
        <f>AVERAGE(R3:R174)</f>
        <v>6.9572727272727217</v>
      </c>
      <c r="S176" s="16">
        <f>AVERAGE(S3:S174)</f>
        <v>4.8266272189349113</v>
      </c>
      <c r="T176" s="109">
        <f>AVERAGE(Table5[WattsStandby])</f>
        <v>0.83997560975609753</v>
      </c>
      <c r="U176" s="113">
        <f>AVERAGE(Table5[Energy$year])</f>
        <v>5.4936661500000001</v>
      </c>
      <c r="V176" s="125">
        <f>AVERAGE(Table5[Energy$yearPerTB])</f>
        <v>1.8379735031179134</v>
      </c>
      <c r="W176" s="113">
        <f>AVERAGE(Table5[Cost])</f>
        <v>223.21095705521506</v>
      </c>
      <c r="X176" s="168">
        <f>AVERAGE(Table5[$ TB])</f>
        <v>60.362867075664603</v>
      </c>
      <c r="Y176" s="170">
        <f>AVERAGE(Table5[$ TB])</f>
        <v>60.362867075664603</v>
      </c>
      <c r="Z176" s="17">
        <f>AVERAGE(Table5[$PerTB])</f>
        <v>64.481618166812694</v>
      </c>
      <c r="AA176" s="125">
        <f>AVERAGE(Table5[$ TB/year])</f>
        <v>12.827662108159108</v>
      </c>
      <c r="AB176" s="125">
        <f>AVERAGE(Table5[$TB/Yr+Power])</f>
        <v>14.795603531797616</v>
      </c>
      <c r="AC176" s="160">
        <f>AVERAGE(Table5[DBA_Idle])</f>
        <v>25.79032258064516</v>
      </c>
      <c r="AD176" s="161">
        <f>AVERAGE(Table5[DBA_Seek])</f>
        <v>30.718446601941746</v>
      </c>
    </row>
    <row r="177" spans="1:30" ht="15.75" thickBot="1" x14ac:dyDescent="0.3">
      <c r="B177" s="4"/>
      <c r="D177" s="64" t="s">
        <v>22</v>
      </c>
      <c r="E177" s="85">
        <f>MEDIAN(Table5[FormFactor])</f>
        <v>3.5</v>
      </c>
      <c r="F177" s="58">
        <f>MEDIAN(Table5[SizTB])</f>
        <v>4</v>
      </c>
      <c r="G177" s="123">
        <f>MEDIAN(Table5[RPM])</f>
        <v>7200</v>
      </c>
      <c r="H177" s="16">
        <f>MEDIAN(Table5[AvgLatency])</f>
        <v>4.16</v>
      </c>
      <c r="I177" s="16">
        <f>MEDIAN(Table5[SeekT])</f>
        <v>8.6</v>
      </c>
      <c r="J177" s="16">
        <f>MEDIAN(Table5[PerfCmp])</f>
        <v>0.33333333333333326</v>
      </c>
      <c r="K177" s="63">
        <f>MEDIAN(Table5[XferRate])</f>
        <v>205</v>
      </c>
      <c r="L177" s="51">
        <f>MEDIAN(Table5[Warranty])</f>
        <v>5</v>
      </c>
      <c r="M177" s="38">
        <f>MEDIAN(Table5[CycleCnt])</f>
        <v>600000</v>
      </c>
      <c r="N177" s="16">
        <f>MEDIAN(Table5[WorkLoad])</f>
        <v>300</v>
      </c>
      <c r="O177" s="38">
        <f>MEDIAN(Table5[MTBF])</f>
        <v>2000000</v>
      </c>
      <c r="P177" s="48">
        <f>MEDIAN(Table5[RErrRate])</f>
        <v>1000000000000000</v>
      </c>
      <c r="Q177" s="55">
        <f>MEDIAN(Table5[MaxStartupWatts])</f>
        <v>24</v>
      </c>
      <c r="R177" s="16">
        <f>MEDIAN(R3:R174)</f>
        <v>7.2</v>
      </c>
      <c r="S177" s="16">
        <f>MEDIAN(S3:S174)</f>
        <v>5.07</v>
      </c>
      <c r="T177" s="109">
        <f>MEDIAN(Table5[WattsStandby])</f>
        <v>0.72</v>
      </c>
      <c r="U177" s="113">
        <f>MEDIAN(Table5[Energy$year])</f>
        <v>5.960716800000001</v>
      </c>
      <c r="V177" s="125">
        <f>MEDIAN(Table5[Energy$yearPerTB])</f>
        <v>1.1030248</v>
      </c>
      <c r="W177" s="113">
        <f>MEDIAN(Table5[Cost])</f>
        <v>189.99</v>
      </c>
      <c r="X177" s="168">
        <f>MEDIAN(Table5[$ TB])</f>
        <v>39.356250000000003</v>
      </c>
      <c r="Y177" s="170">
        <f>MEDIAN(Table5[$ TB])</f>
        <v>39.356250000000003</v>
      </c>
      <c r="Z177" s="17">
        <f>MEDIAN(Table5[$PerTB])</f>
        <v>43.643060000000006</v>
      </c>
      <c r="AA177" s="125">
        <f>MEDIAN(Table5[$ TB/year])</f>
        <v>8.7213617142857149</v>
      </c>
      <c r="AB177" s="125">
        <f>MEDIAN(Table5[$TB/Yr+Power])</f>
        <v>9.8657385666666659</v>
      </c>
      <c r="AC177" s="160">
        <f>MEDIAN(Table5[DBA_Idle])</f>
        <v>25</v>
      </c>
      <c r="AD177" s="161">
        <f>MEDIAN(Table5[DBA_Seek])</f>
        <v>29</v>
      </c>
    </row>
    <row r="178" spans="1:30" ht="15.75" thickBot="1" x14ac:dyDescent="0.3">
      <c r="B178" t="s">
        <v>98</v>
      </c>
      <c r="D178" s="15" t="s">
        <v>24</v>
      </c>
      <c r="E178" s="84">
        <f>MAX(Table5[FormFactor])</f>
        <v>3.5</v>
      </c>
      <c r="F178" s="58">
        <f>MAX(Table5[SizTB])</f>
        <v>16</v>
      </c>
      <c r="G178" s="123">
        <f>MAX(Table5[RPM])</f>
        <v>15030</v>
      </c>
      <c r="H178" s="16">
        <f>MAX(Table5[AvgLatency])</f>
        <v>6</v>
      </c>
      <c r="I178" s="16">
        <f>MAX(Table5[SeekT])</f>
        <v>16</v>
      </c>
      <c r="J178" s="16">
        <f>MAX(Table5[PerfCmp])</f>
        <v>1.7833333333333332</v>
      </c>
      <c r="K178" s="63">
        <f>MAX(Table5[XferRate])</f>
        <v>270</v>
      </c>
      <c r="L178" s="51">
        <f>MAX(Table5[Warranty])</f>
        <v>5</v>
      </c>
      <c r="M178" s="38">
        <f>MAX(Table5[CycleCnt])</f>
        <v>600000</v>
      </c>
      <c r="N178" s="16">
        <f>MAX(Table5[WorkLoad])</f>
        <v>550</v>
      </c>
      <c r="O178" s="38">
        <f>MAX(Table5[MTBF])</f>
        <v>2500000</v>
      </c>
      <c r="P178" s="48">
        <f>MAX(Table5[RErrRate])</f>
        <v>1E+17</v>
      </c>
      <c r="Q178" s="55">
        <f>MAX(Table5[MaxStartupWatts])</f>
        <v>31.200000000000003</v>
      </c>
      <c r="R178" s="16">
        <f>MAX(R3:R174)</f>
        <v>11.4</v>
      </c>
      <c r="S178" s="16">
        <f>MAX(S3:S174)</f>
        <v>8.15</v>
      </c>
      <c r="T178" s="109">
        <f>MAX(Table5[WattsStandby])</f>
        <v>4.88</v>
      </c>
      <c r="U178" s="113">
        <f>MAX(Table5[Energy$year])</f>
        <v>9.2917056000000002</v>
      </c>
      <c r="V178" s="125">
        <f>MAX(Table5[Energy$yearPerTB])</f>
        <v>11.468536</v>
      </c>
      <c r="W178" s="113">
        <f>MAX(Table5[Cost])</f>
        <v>650</v>
      </c>
      <c r="X178" s="168">
        <f>MAX(Table5[$ TB])</f>
        <v>499.98333333333335</v>
      </c>
      <c r="Y178" s="170">
        <f>MAX(Table5[$ TB])</f>
        <v>499.98333333333335</v>
      </c>
      <c r="Z178" s="17">
        <f>MAX(Table5[$PerTB])</f>
        <v>499.98333333333335</v>
      </c>
      <c r="AA178" s="125">
        <f>MAX(Table5[$ TB/year])</f>
        <v>99.99666666666667</v>
      </c>
      <c r="AB178" s="125">
        <f>MAX(Table5[$TB/Yr+Power])</f>
        <v>111.46520266666667</v>
      </c>
      <c r="AC178" s="160">
        <f>MAX(Table5[DBA_Idle])</f>
        <v>34</v>
      </c>
      <c r="AD178" s="161">
        <f>MAX(Table5[DBA_Seek])</f>
        <v>36</v>
      </c>
    </row>
    <row r="179" spans="1:30" ht="15.75" thickBot="1" x14ac:dyDescent="0.3">
      <c r="D179" s="18" t="s">
        <v>38</v>
      </c>
      <c r="E179" s="49">
        <f>COUNT(Table5[FormFactor])</f>
        <v>172</v>
      </c>
      <c r="F179" s="49">
        <f>COUNT(Table5[SizTB])</f>
        <v>172</v>
      </c>
      <c r="G179" s="49">
        <f>COUNT(Table5[RPM])</f>
        <v>172</v>
      </c>
      <c r="H179" s="19">
        <f>COUNT(Table5[AvgLatency])</f>
        <v>99</v>
      </c>
      <c r="I179" s="19">
        <f>COUNT(Table5[SeekT])</f>
        <v>62</v>
      </c>
      <c r="J179" s="19">
        <f>COUNT(Table5[PerfCmp])</f>
        <v>172</v>
      </c>
      <c r="K179" s="56">
        <f>COUNT(Table5[XferRate])</f>
        <v>153</v>
      </c>
      <c r="L179" s="52">
        <f>COUNT(Table5[Warranty])</f>
        <v>165</v>
      </c>
      <c r="M179" s="19">
        <f>COUNT(Table5[CycleCnt])</f>
        <v>151</v>
      </c>
      <c r="N179" s="19">
        <f>COUNT(Table5[WorkLoad])</f>
        <v>112</v>
      </c>
      <c r="O179" s="19">
        <f>COUNT(Table5[MTBF])</f>
        <v>123</v>
      </c>
      <c r="P179" s="49">
        <f>COUNT(Table5[RErrRate])</f>
        <v>169</v>
      </c>
      <c r="Q179" s="127">
        <f>COUNT(Table5[MaxStartupWatts])</f>
        <v>83</v>
      </c>
      <c r="R179" s="128">
        <f>COUNT(Table5[Watts Active])</f>
        <v>165</v>
      </c>
      <c r="S179" s="128">
        <f>COUNT(Table5[Watts Idle])</f>
        <v>169</v>
      </c>
      <c r="T179" s="128">
        <f>COUNT(Table5[WattsStandby])</f>
        <v>82</v>
      </c>
      <c r="U179" s="128">
        <f>COUNT(Table5[Energy$year])</f>
        <v>168</v>
      </c>
      <c r="V179" s="129">
        <f>COUNT(Table5[Energy$yearPerTB])</f>
        <v>168</v>
      </c>
      <c r="W179" s="52">
        <f>COUNT(Table5[Cost])</f>
        <v>163</v>
      </c>
      <c r="X179" s="49">
        <f>COUNT(Table5[$ TB])</f>
        <v>163</v>
      </c>
      <c r="Y179" s="18">
        <f>COUNT(Table5[$ TB])</f>
        <v>163</v>
      </c>
      <c r="Z179" s="19">
        <f>COUNT(Table5[$PerTB])</f>
        <v>163</v>
      </c>
      <c r="AA179" s="126">
        <f>COUNTA(Table5[$ TB/year])</f>
        <v>172</v>
      </c>
      <c r="AB179" s="126">
        <f>COUNTA(Table5[$TB/Yr+Power])</f>
        <v>172</v>
      </c>
      <c r="AC179" s="162">
        <f>COUNTA(Table5[DBA_Idle])</f>
        <v>125</v>
      </c>
      <c r="AD179" s="163">
        <f>COUNTA(Table5[DBA_Seek])</f>
        <v>103</v>
      </c>
    </row>
    <row r="182" spans="1:30" ht="15.75" thickBot="1" x14ac:dyDescent="0.3"/>
    <row r="183" spans="1:30" ht="15.75" thickBot="1" x14ac:dyDescent="0.3">
      <c r="A183" s="200" t="s">
        <v>149</v>
      </c>
      <c r="B183" s="201"/>
      <c r="C183" s="212"/>
      <c r="D183" s="213"/>
      <c r="E183" s="82"/>
    </row>
    <row r="184" spans="1:30" ht="15.75" thickBot="1" x14ac:dyDescent="0.3">
      <c r="A184" s="202">
        <f>MAX(Table5[Date])</f>
        <v>43581</v>
      </c>
      <c r="B184" s="203"/>
      <c r="C184" s="21" t="s">
        <v>19</v>
      </c>
      <c r="D184" s="29">
        <v>0.125</v>
      </c>
      <c r="E184" s="86"/>
      <c r="G184" s="24"/>
    </row>
    <row r="185" spans="1:30" ht="15.75" thickBot="1" x14ac:dyDescent="0.3">
      <c r="C185" s="21" t="s">
        <v>28</v>
      </c>
      <c r="D185" s="22">
        <v>0.2</v>
      </c>
      <c r="E185" s="87"/>
      <c r="G185" s="25"/>
    </row>
    <row r="186" spans="1:30" ht="15.75" thickBot="1" x14ac:dyDescent="0.3">
      <c r="A186" s="200" t="s">
        <v>68</v>
      </c>
      <c r="B186" s="201"/>
      <c r="C186" s="21" t="s">
        <v>33</v>
      </c>
      <c r="D186" s="23">
        <v>5</v>
      </c>
      <c r="E186" s="4"/>
      <c r="G186" s="26"/>
    </row>
    <row r="187" spans="1:30" ht="15.75" thickBot="1" x14ac:dyDescent="0.3">
      <c r="A187" s="198">
        <f>MIN(Table5[Date])</f>
        <v>43027</v>
      </c>
      <c r="B187" s="199"/>
      <c r="C187" s="21" t="s">
        <v>45</v>
      </c>
      <c r="D187" s="22">
        <v>0.11</v>
      </c>
      <c r="E187" s="87"/>
      <c r="G187" s="25"/>
      <c r="J187" s="121"/>
    </row>
    <row r="188" spans="1:30" ht="15.75" thickBot="1" x14ac:dyDescent="0.3">
      <c r="C188" s="21" t="s">
        <v>29</v>
      </c>
      <c r="D188" s="28">
        <f>Days_in_Year*Hours_In_Day</f>
        <v>8765.76</v>
      </c>
      <c r="E188" s="26"/>
    </row>
    <row r="189" spans="1:30" ht="15.75" thickBot="1" x14ac:dyDescent="0.3">
      <c r="C189" s="21" t="s">
        <v>51</v>
      </c>
      <c r="D189" s="23">
        <v>24</v>
      </c>
      <c r="E189" s="4"/>
      <c r="G189" s="26"/>
      <c r="H189" s="26"/>
      <c r="I189" s="26"/>
    </row>
    <row r="190" spans="1:30" ht="15.75" thickBot="1" x14ac:dyDescent="0.3">
      <c r="C190" s="21" t="s">
        <v>53</v>
      </c>
      <c r="D190" s="23">
        <f>Days_In_Month*Hours_In_Day</f>
        <v>730.48</v>
      </c>
      <c r="E190" s="4"/>
      <c r="G190" s="26"/>
      <c r="H190" s="26"/>
      <c r="I190" s="26"/>
    </row>
    <row r="191" spans="1:30" ht="15.75" thickBot="1" x14ac:dyDescent="0.3">
      <c r="C191" s="21" t="s">
        <v>50</v>
      </c>
      <c r="D191" s="23">
        <f>Days_in_Year/Months_In_Year</f>
        <v>30.436666666666667</v>
      </c>
      <c r="E191" s="4"/>
    </row>
    <row r="192" spans="1:30" ht="15.75" thickBot="1" x14ac:dyDescent="0.3">
      <c r="C192" s="21" t="s">
        <v>56</v>
      </c>
      <c r="D192" s="23">
        <v>365.24</v>
      </c>
      <c r="E192" s="4"/>
    </row>
    <row r="193" spans="1:9" ht="15.75" thickBot="1" x14ac:dyDescent="0.3">
      <c r="C193" s="21" t="s">
        <v>52</v>
      </c>
      <c r="D193" s="23">
        <v>12</v>
      </c>
      <c r="E193" s="4"/>
      <c r="G193" s="26"/>
      <c r="H193" s="26"/>
      <c r="I193" s="26"/>
    </row>
    <row r="194" spans="1:9" ht="15.75" thickBot="1" x14ac:dyDescent="0.3">
      <c r="C194" s="21" t="s">
        <v>123</v>
      </c>
      <c r="D194" s="120">
        <v>1</v>
      </c>
    </row>
    <row r="195" spans="1:9" x14ac:dyDescent="0.25">
      <c r="C195" s="118"/>
      <c r="D195" s="119"/>
    </row>
    <row r="196" spans="1:9" x14ac:dyDescent="0.25">
      <c r="C196" s="117"/>
      <c r="D196" s="117"/>
    </row>
    <row r="197" spans="1:9" x14ac:dyDescent="0.25">
      <c r="A197" s="100" t="s">
        <v>39</v>
      </c>
    </row>
    <row r="198" spans="1:9" ht="15.75" thickBot="1" x14ac:dyDescent="0.3"/>
    <row r="199" spans="1:9" ht="15.75" thickBot="1" x14ac:dyDescent="0.3">
      <c r="B199" s="150" t="s">
        <v>137</v>
      </c>
      <c r="C199" s="150" t="s">
        <v>130</v>
      </c>
    </row>
    <row r="200" spans="1:9" ht="15.75" thickBot="1" x14ac:dyDescent="0.3">
      <c r="B200" s="133" t="s">
        <v>125</v>
      </c>
      <c r="C200" s="130" t="s">
        <v>126</v>
      </c>
    </row>
    <row r="201" spans="1:9" ht="15.75" thickBot="1" x14ac:dyDescent="0.3">
      <c r="B201" s="134" t="s">
        <v>124</v>
      </c>
      <c r="C201" s="131" t="s">
        <v>127</v>
      </c>
    </row>
    <row r="202" spans="1:9" ht="30.75" thickBot="1" x14ac:dyDescent="0.3">
      <c r="B202" s="135" t="s">
        <v>49</v>
      </c>
      <c r="C202" s="132" t="s">
        <v>128</v>
      </c>
    </row>
    <row r="203" spans="1:9" ht="30.75" thickBot="1" x14ac:dyDescent="0.3">
      <c r="B203" s="134" t="s">
        <v>108</v>
      </c>
      <c r="C203" s="131" t="s">
        <v>129</v>
      </c>
    </row>
    <row r="204" spans="1:9" ht="15.75" thickBot="1" x14ac:dyDescent="0.3"/>
    <row r="205" spans="1:9" ht="15.75" thickBot="1" x14ac:dyDescent="0.3">
      <c r="C205" s="150" t="s">
        <v>150</v>
      </c>
    </row>
    <row r="206" spans="1:9" ht="15.75" thickBot="1" x14ac:dyDescent="0.3">
      <c r="C206" s="130" t="s">
        <v>147</v>
      </c>
    </row>
  </sheetData>
  <sortState ref="A2:S61">
    <sortCondition ref="B2:B61"/>
    <sortCondition ref="C2:C61"/>
    <sortCondition ref="G2:G61"/>
  </sortState>
  <mergeCells count="12">
    <mergeCell ref="AC1:AD1"/>
    <mergeCell ref="A187:B187"/>
    <mergeCell ref="A186:B186"/>
    <mergeCell ref="A184:B184"/>
    <mergeCell ref="W1:X1"/>
    <mergeCell ref="L1:P1"/>
    <mergeCell ref="Q1:V1"/>
    <mergeCell ref="C183:D183"/>
    <mergeCell ref="A183:B183"/>
    <mergeCell ref="G1:K1"/>
    <mergeCell ref="A1:F1"/>
    <mergeCell ref="Y1:AB1"/>
  </mergeCells>
  <conditionalFormatting sqref="X3:X174">
    <cfRule type="top10" dxfId="20" priority="754" bottom="1" rank="20"/>
  </conditionalFormatting>
  <conditionalFormatting sqref="AA3:AB174">
    <cfRule type="top10" dxfId="19" priority="757" bottom="1" rank="20"/>
  </conditionalFormatting>
  <conditionalFormatting sqref="V3:V174">
    <cfRule type="colorScale" priority="760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74">
    <cfRule type="colorScale" priority="763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74">
    <cfRule type="top10" dxfId="18" priority="766" bottom="1" rank="20"/>
  </conditionalFormatting>
  <conditionalFormatting sqref="AB3:AB174">
    <cfRule type="top10" dxfId="17" priority="769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31:C134" r:id="rId8" display="Black"/>
    <hyperlink ref="C59:C64" r:id="rId9" display="Exos 7E8"/>
    <hyperlink ref="C53" r:id="rId10"/>
    <hyperlink ref="C51:C52" r:id="rId11" display="Exos 10E2400"/>
    <hyperlink ref="C65:C66" r:id="rId12" display="Exos X10"/>
    <hyperlink ref="C67" r:id="rId13"/>
    <hyperlink ref="C54" r:id="rId14" location="exos-5e8"/>
    <hyperlink ref="C142:C148" r:id="rId15" display="Gold Enterprise"/>
    <hyperlink ref="C151:C158" r:id="rId16" display="Red NAS"/>
    <hyperlink ref="C137:C141" r:id="rId17" display="Blue"/>
    <hyperlink ref="C129" r:id="rId18"/>
    <hyperlink ref="C73:C79" r:id="rId19" location="specs" display="IronWolf"/>
    <hyperlink ref="C82:C86" r:id="rId20" location="pro-specs" display="IronWolf Pro"/>
    <hyperlink ref="C89" r:id="rId21"/>
    <hyperlink ref="C71:C72" r:id="rId22" location="3-5-inch-specs" display="FireCuda SSHD"/>
    <hyperlink ref="A197" r:id="rId23"/>
    <hyperlink ref="AE157:AE158" r:id="rId24" display="Helium filled"/>
    <hyperlink ref="AE146:AE148" r:id="rId25" display="Helium filled"/>
    <hyperlink ref="AE23:AE26" r:id="rId26" display="Helium filled"/>
    <hyperlink ref="AE18" r:id="rId27"/>
    <hyperlink ref="AE27" r:id="rId28"/>
    <hyperlink ref="C26" r:id="rId29"/>
    <hyperlink ref="C25" r:id="rId30"/>
    <hyperlink ref="C7" r:id="rId31" display="Travelstar 5K100"/>
    <hyperlink ref="C8" r:id="rId32" display="Travelstar 7K100"/>
    <hyperlink ref="C113:C115" r:id="rId33" display="N300"/>
    <hyperlink ref="C119:C121" r:id="rId34" display="P300"/>
    <hyperlink ref="C130" r:id="rId35"/>
    <hyperlink ref="C149:C150" r:id="rId36" display="Red NAS"/>
    <hyperlink ref="C93" r:id="rId37"/>
    <hyperlink ref="C94:C95" r:id="rId38" display="Enterprise Capacity"/>
    <hyperlink ref="C99" r:id="rId39"/>
    <hyperlink ref="C102" r:id="rId40"/>
    <hyperlink ref="C80" r:id="rId41" location="pro-specs"/>
    <hyperlink ref="C87" r:id="rId42" location="pro-specs"/>
    <hyperlink ref="W129" r:id="rId43" display="https://www.newegg.com/Product/Product.aspx?Item=N82E16822149747&amp;Description=x300%20toshiba&amp;cm_re=x300_toshiba-_-22-149-747-_-Product"/>
    <hyperlink ref="W137" r:id="rId44" display="https://www.newegg.com/Product/Product.aspx?Item=22-236-339&amp;utm_medium=Email&amp;utm_source=GD110617&amp;cm_mmc=EMC-GD110617-_-landing-_-Item-_-22-236-339"/>
    <hyperlink ref="W154" r:id="rId45" display="https://www.newegg.com/Product/Product.aspx?Item=N82E16822236599&amp;utm_medium=Email&amp;utm_source=IGNEFL121417&amp;cm_mmc=EMC-IGNEFL121417-_-EMC-121417-Index-_-DesktopInternalHardDrives-_-22236599-S0E&amp;ignorebbr=1"/>
    <hyperlink ref="W153" r:id="rId46" display="http://www.newegg.com/Product/Product.aspx?Item=N82E16822236344&amp;utm_medium=Email&amp;utm_source=IGNEFL121917&amp;cm_mmc=EMC-IGNEFL121917-_-EMC-121917-Index-_-DesktopInternalHardDrives-_-22236344-S0I&amp;ignorebbr=1"/>
    <hyperlink ref="W115" r:id="rId47" display="http://www.newegg.com/Product/Product.aspx?Item=N82E16822149695&amp;utm_medium=Email&amp;utm_source=IGNEFL121517&amp;cm_mmc=EMC-IGNEFL121517-_-EMC-121517-Index-_-DesktopInternalHardDrives-_-22149695-S1A3C&amp;ignorebbr=1"/>
    <hyperlink ref="W114" r:id="rId48" display="https://www.newegg.com/Product/Product.aspx?item=N82E16822149696"/>
    <hyperlink ref="W113" r:id="rId49" display="https://www.newegg.com/Product/Product.aspx?Item=22-149-697&amp;utm_medium=Email&amp;utm_source=GD012918&amp;cm_mmc=EMC-GD012918-_-landing-_-Item-_-22-149-697"/>
    <hyperlink ref="W8" r:id="rId50" display="https://www.newegg.com/Product/Product.aspx?Item=N82E16822145875"/>
    <hyperlink ref="W20" r:id="rId51" display="https://www.newegg.com/Product/Product.aspx?Item=9SIA99462P4004"/>
    <hyperlink ref="W21" r:id="rId52" display="https://www.newegg.com/Product/Product.aspx?Item=9SIA99460Z1529"/>
    <hyperlink ref="W22" r:id="rId53" display="https://www.newegg.com/Product/Product.aspx?Item=9SIA75M5XX1494"/>
    <hyperlink ref="W74" r:id="rId54" display="https://www.newegg.com/Product/Product.aspx?item=N82E16822179007"/>
    <hyperlink ref="AE22" r:id="rId55" display="32GB NAND, media caching"/>
    <hyperlink ref="AE24" r:id="rId56" display="Helium filled, media caching"/>
    <hyperlink ref="AE145" r:id="rId57" display="http://www.tomsitpro.com/articles/wd-hgst-8tb-hdd-gold,1-3248.html"/>
    <hyperlink ref="C18" r:id="rId58"/>
    <hyperlink ref="C23" r:id="rId59"/>
    <hyperlink ref="W23" r:id="rId60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34" r:id="rId61" display="https://www.newegg.com/Product/Product.aspx?Item=N82E16822235281&amp;ignorebbr=1"/>
    <hyperlink ref="W132" r:id="rId62" display="https://www.newegg.com/Product/Product.aspx?item=N82E16822236624"/>
    <hyperlink ref="W131" r:id="rId63" display="http://www.newegg.com/Product/Product.aspx?Item=N82E16822236625&amp;utm_medium=Email&amp;utm_source=IGNEFL121417&amp;cm_mmc=EMC-IGNEFL121417-_-EMC-121417-Index-_-DesktopInternalHardDrives-_-22236625-S1A1D&amp;ignorebbr=1"/>
    <hyperlink ref="W133" r:id="rId64" display="https://www.newegg.com/Product/Product.aspx?item=N82E16822235128"/>
    <hyperlink ref="W150" r:id="rId65" display="https://www.newegg.com/Product/Product.aspx?item=N82E16822236600"/>
    <hyperlink ref="W149" r:id="rId66" display="https://www.newegg.com/Product/Product.aspx?item=N82E16822236601"/>
    <hyperlink ref="W86" r:id="rId67" display="https://www.newegg.com/Product/Product.aspx?Item=22-179-103&amp;utm_medium=Email&amp;utm_source=GD072518&amp;cm_mmc=EMC-GD072518-_-landing-_-Item-_-22-179-103"/>
    <hyperlink ref="W87" r:id="rId68" display="https://www.amazon.com/Seagate-IronWolf-7200RPM-3-5-Inch-ST12000NE0007/dp/B075XNQYV1/ref=sr_1_3?ie=UTF8&amp;qid=1517108286&amp;sr=8-3&amp;keywords=14tb"/>
    <hyperlink ref="W84" r:id="rId69" display="https://smile.amazon.com/Seagate-IronWolf-7200RPM-256MB-3-5-Inch/dp/B07BDVBP1H/ref=sr_1_9?s=prime-day&amp;psr=PDAY&amp;ie=UTF8&amp;qid=1531855616&amp;sr=1-9&amp;keywords=seagate&amp;smid=ATVPDKIKX0DER"/>
    <hyperlink ref="W83" r:id="rId70" display="https://www.newegg.com/Product/Product.aspx?item=N82E16822179101"/>
    <hyperlink ref="W82" r:id="rId71" display="https://www.newegg.com/Product/Product.aspx?item=N82E16822179102"/>
    <hyperlink ref="W79" r:id="rId72" display="https://www.newegg.com/Product/Product.aspx?item=N82E16822178997"/>
    <hyperlink ref="W80" r:id="rId73" display="https://www.newegg.com/Product/Product.aspx?Item=N82E16822172025&amp;utm_medium=Email&amp;utm_source=EXPRESS112517&amp;cm_mmc=EMC-EXPRESS112517-_-EMC-112517-Index-_-DesktopInternalHardDrives-_-22172025-S1A3A&amp;ignorebbr=1"/>
    <hyperlink ref="W78" r:id="rId74" display="https://smile.amazon.com/Seagate-IronWolf-3-5-Inch-Internal-ST8000VN0022/dp/B01M1BUBSO/ref=sr_1_cc_1?s=aps&amp;psr=PDAY&amp;ie=UTF8&amp;qid=1531855197&amp;sr=1-1-catcorr&amp;keywords=ironwolf"/>
    <hyperlink ref="W77" r:id="rId75" display="https://smile.amazon.com/Seagate-IronWolf-3-5-Inch-Internal-ST6000VN0041/dp/B01LZDFMWQ/ref=sr_1_cc_2?s=aps&amp;psr=PDAY&amp;ie=UTF8&amp;qid=1531855197&amp;sr=1-2-catcorr&amp;keywords=ironwolf"/>
    <hyperlink ref="W76" r:id="rId76" display="https://flash.newegg.com/Product/22-179-005?utm_source=NFEmail071918&amp;utm_medium=index&amp;utm_campaign=SaleBanner_B3B_22-179-005&amp;cm_mmc=EMC-NFEmail071918-_-SaleBanner_B3B_22-179-005-_-NA-_-22-179-005"/>
    <hyperlink ref="W75" r:id="rId77" display="https://smile.amazon.com/Seagate-IronWolf-Cache-3-5-Inch-Internal/dp/B01LOOJBRI/ref=sr_1_1?s=prime-day&amp;psr=PDAY&amp;ie=UTF8&amp;qid=1531854865&amp;sr=1-1&amp;keywords=seagate+ironwolf&amp;smid=ATVPDKIKX0DER&amp;dpID=511zrEsez3L&amp;preST=_SY300_QL70_&amp;dpSrc=srch"/>
    <hyperlink ref="W73" r:id="rId78" display="https://www.newegg.com/Product/Product.aspx?item=N82E16822179008"/>
    <hyperlink ref="W17" r:id="rId79" display="https://www.newegg.com/Product/Product.aspx?item=N82E16822146076"/>
    <hyperlink ref="W15" r:id="rId80" display="https://www.newegg.com/Product/Product.aspx?item=N82E16822146071"/>
    <hyperlink ref="W14" r:id="rId81" display="https://www.newegg.com/Product/Product.aspx?item=N82E16822146067"/>
    <hyperlink ref="W16" r:id="rId82" display="https://www.newegg.com/Product/Product.aspx?Item=9SIA25V4XG7457&amp;cm_re=Ultrastar_7K6000_5tb-_-9SIA25V4XG7457-_-Product"/>
    <hyperlink ref="W147" r:id="rId83" display="https://www.newegg.com/Product/Product.aspx?item=9SIA1K656B4129"/>
    <hyperlink ref="W148" r:id="rId84" display="https://www.newegg.com/Product/Product.aspx?item=9SIABT182H3771"/>
    <hyperlink ref="W146" r:id="rId85" display="https://www.newegg.com/Product/Product.aspx?item=N82E16822232558"/>
    <hyperlink ref="W145" r:id="rId86" display="https://www.newegg.com/Product/Product.aspx?item=9SIA7XW8AH4358"/>
    <hyperlink ref="W144" r:id="rId87" display="https://www.amazon.com/Gold-Enterprise-Class-Hard-Drive/dp/B01AV1697A?SubscriptionId=AKIAILSHYYTFIVPWUY6Q&amp;tag=duckduckgo-ffsb-20&amp;linkCode=xm2&amp;camp=2025&amp;creative=165953&amp;creativeASIN=B01AV1697A&amp;th=1"/>
    <hyperlink ref="W143" r:id="rId88" display="http://www.newegg.com/Product/Product.aspx?Item=1Z4-0002-002V0&amp;utm_medium=Email&amp;utm_source=IGNEFL112217&amp;cm_mmc=EMC-IGNEFL112217-_-EMC-112217-Index-_-DesktopInternalHardDrives-_-1Z4-0002-002V0-S1A1D&amp;ignorebbr=1"/>
    <hyperlink ref="W142" r:id="rId89" display="https://www.newegg.com/Product/ComboBundleDetails.aspx?ItemList=Combo.3844518&amp;utm_medium=Email&amp;utm_source=GD072518&amp;cm_mmc=EMC-GD072518-_-landing-_-Item-_-1Z4-0002-002U9"/>
    <hyperlink ref="W37" r:id="rId90" display="https://smile.amazon.com/Seagate-BarraCuda-Cache-Desktop-ST2000DM006/dp/B01IEKG402/ref=sr_1_cc_2?s=aps&amp;psr=PDAY&amp;ie=UTF8&amp;qid=1531855616&amp;sr=1-2-catcorr&amp;keywords=seagate"/>
    <hyperlink ref="W4" r:id="rId91" display="https://www.newegg.com/Product/ComboBundleDetails.aspx?ItemList=Combo.3844444&amp;utm_medium=Email&amp;utm_source=GD072518&amp;cm_mmc=EMC-GD072518-_-landing-_-Item-_-22-146-118"/>
    <hyperlink ref="W29" r:id="rId92" display="https://www.newegg.com/Product/Product.aspx?item=N82E16822178750"/>
    <hyperlink ref="W30" r:id="rId93" display="https://www.amazon.com/Seagate-Archive-6GBps-128MB-ST8000AS0002/dp/B00XS423SC/ref=pd_sim_147_30?_encoding=UTF8&amp;psc=1&amp;refRID=FT0YK268QJANC6JV5911"/>
    <hyperlink ref="W28" r:id="rId94" display="https://www.newegg.com/Product/Product.aspx?item=9SIA4A04NB8762"/>
    <hyperlink ref="C28" r:id="rId95"/>
    <hyperlink ref="C29" r:id="rId96"/>
    <hyperlink ref="C30" r:id="rId97"/>
    <hyperlink ref="Q27" r:id="rId98" display="http://www.hgst.com/sites/default/files/resources/UltrastarHs14-SATA-OEMSpec-R1.0.pdf"/>
    <hyperlink ref="W6" r:id="rId99" display="https://www.newegg.com/Product/Product.aspx?Item=N82E16822146148&amp;ignorebbr=1"/>
    <hyperlink ref="W138" r:id="rId100" display="http://www.newegg.com/Product/Product.aspx?Item=N82E16822235013&amp;utm_medium=Email&amp;utm_source=IGNEFL122417&amp;cm_mmc=EMC-IGNEFL122417-_-EMC-122417-Index-_-DesktopInternalHardDrives-_-22235013-S2A2D&amp;ignorebbr=1"/>
    <hyperlink ref="W157" r:id="rId101" display="http://www.newegg.com/Product/Product.aspx?Item=N82E16822235063&amp;utm_medium=Email&amp;utm_source=IGNEFL121517&amp;cm_mmc=EMC-IGNEFL121517-_-EMC-121517-Index-_-DesktopInternalHardDrives-_-22235063-S1A3B&amp;ignorebbr=1"/>
    <hyperlink ref="W156" r:id="rId102" display="https://www.newegg.com/Product/Product.aspx?Item=22-236-737&amp;utm_medium=Email&amp;utm_source=GD012918&amp;cm_mmc=EMC-GD012918-_-landing-_-Item-_-22-236-737"/>
    <hyperlink ref="C9" r:id="rId103" display="Ultrastar 7K6"/>
    <hyperlink ref="C10" r:id="rId104" display="Ultrastar 7K6"/>
    <hyperlink ref="C9:C10" r:id="rId105" display="Ultrastar 7K200"/>
    <hyperlink ref="W24" r:id="rId106" display="https://www.amazon.com/HGST-Ultrastar-HUH728080AL5200-Platform-Enterprise/dp/B00UOGW4AO/ref=sr_1_18?ie=UTF8&amp;qid=1546069561&amp;sr=8-18&amp;keywords=ultrastar+he8"/>
    <hyperlink ref="W25" r:id="rId107" display="https://www.newegg.com/Product/Product.aspx?Item=9SIA9945X11461&amp;cm_re=ultrastar_he12-_-9SIA9945X11461-_-Product"/>
    <hyperlink ref="W5" r:id="rId108" display="https://www.newegg.com/Product/Product.aspx?Item=N82E16822146142&amp;cm_mmc=EMC-IGNEFL072018-_-EMC-072018-Index-_-DesktopInternalHardDrives-_-22146142-S1A2D&amp;ignorebbr=1"/>
    <hyperlink ref="W32" r:id="rId109" display="https://www.newegg.com/Product/Product.aspx?Item=N82E16822179107&amp;utm_medium=Email&amp;utm_source=IGNEFL112717&amp;cm_mmc=EMC-IGNEFL112717-_-EMC-112717-Index-_-LaptopInternalHardDrives-_-22179107-S1A1C&amp;ignorebbr=1"/>
    <hyperlink ref="W39" r:id="rId110" display="https://www.newegg.com/Product/Product.aspx?Item=N82E16822179009&amp;utm_medium=Email&amp;utm_source=IGNEFL112717&amp;cm_mmc=EMC-IGNEFL112717-_-EMC-112717-Index-_-DesktopInternalHardDrives-_-22179009-S1A2D&amp;ignorebbr=1"/>
    <hyperlink ref="W26" r:id="rId111" display="https://www.amazon.com/HGST-Ultrastar-HUH721212ALE600-SATA-6Gb-256MB/dp/B079RMMPQL/ref=sr_1_1?ie=UTF8&amp;qid=1546068976&amp;sr=8-1&amp;keywords=ultrastar+he12"/>
    <hyperlink ref="W44" r:id="rId112" display="https://smile.amazon.com/Seagate-BarraCuda-256MB-3-5-Inch-Internal/dp/B01LOOJBH8/ref=sr_1_6?s=prime-day&amp;psr=PDAY&amp;ie=UTF8&amp;qid=1531855616&amp;sr=1-6&amp;keywords=seagate&amp;smid=ATVPDKIKX0DER"/>
    <hyperlink ref="W45" r:id="rId113" display="https://www.newegg.com/Product/Product.aspx?Item=22-179-270&amp;Tpk=22-179-270"/>
    <hyperlink ref="W46" r:id="rId114" display="https://smile.amazon.com/Seagate-BarraCuda-3-5-Inch-Internal-ST10000DM0004/dp/B01IA9H22Q/ref=sr_1_cc_9?s=aps&amp;psr=PDAY&amp;ie=UTF8&amp;qid=1531855197&amp;sr=1-9-catcorr&amp;keywords=ironwolf"/>
    <hyperlink ref="W47" r:id="rId115" display="https://www.newegg.com/Product/Product.aspx?Item=22-172-024&amp;Tpk=22-172-024"/>
    <hyperlink ref="C42:C44" r:id="rId116" display="BarraCuda Pro"/>
    <hyperlink ref="W36" r:id="rId117" display="http://www.newegg.com/Product/Product.aspx?Item=N82E16822179010&amp;utm_medium=Email&amp;utm_source=IGNEFL113017&amp;cm_mmc=EMC-IGNEFL113017-_-EMC-113017-Index-_-DesktopInternalHardDrives-_-22179010-S2A1B&amp;ignorebbr=1"/>
    <hyperlink ref="W163" r:id="rId118" display="http://www.newegg.com/Product/Product.aspx?Item=N82E16822235120&amp;utm_medium=Email&amp;utm_source=IGNEFL120117&amp;cm_mmc=EMC-IGNEFL120117-_-EMC-120117-Index-_-DesktopInternalHardDrives-_-22235120-S1A1B&amp;ignorebbr=1"/>
    <hyperlink ref="W151" r:id="rId119" display="https://secure.neweggbusiness.com/new/shopping/shoppingcart.aspx"/>
    <hyperlink ref="W72" r:id="rId120" display="https://smile.amazon.com/Seagate-FireCuda-Gaming-Solid-Hybrid/dp/B01IEKG2HM/ref=sr_1_3?s=prime-day&amp;psr=PDAY&amp;ie=UTF8&amp;qid=1531854865&amp;sr=1-3&amp;keywords=seagate+ironwolf&amp;smid=ATVPDKIKX0DER&amp;dpID=51Q5JsfaKQL&amp;preST=_SY300_QL70_&amp;dpSrc=srch"/>
    <hyperlink ref="W130" r:id="rId121" display="https://www.newegg.com/Product/Product.aspx?Item=N82E16822235089&amp;utm_medium=Email&amp;utm_source=EXPRESS122317&amp;cm_mmc=EMC-EXPRESS122317-_-EMC-122317-Index-_-LaptopInternalHardDrives-_-22235089-S0F&amp;ignorebbr=1"/>
    <hyperlink ref="W152" r:id="rId122" display="https://www.newegg.com/Product/ComboBundleDetails.aspx?ItemList=Combo.3842359&amp;utm_medium=Email&amp;utm_source=IGNEFL071218&amp;cm_mmc=EMC-IGNEFL071218-_-EMC-071218-Index-_-Combo-_-Combo3842359-S1A1A&amp;ignorebbr=1"/>
    <hyperlink ref="W140" r:id="rId123" display="https://www.newegg.com/Product/Product.aspx?Item=N82E16822235011&amp;ignorebbr=1"/>
    <hyperlink ref="W124" r:id="rId124" display="https://www.newegg.com/Product/Product.aspx?Item=N82E16822149629&amp;ignorebbr=1"/>
    <hyperlink ref="W63" r:id="rId125" display="https://www.newegg.com/Product/Product.aspx?item=1Z4-002P-00139"/>
    <hyperlink ref="W64" r:id="rId126" display="https://www.newegg.com/Product/Product.aspx?item=1Z4-002P-000N0"/>
    <hyperlink ref="W62" r:id="rId127" display="https://www.newegg.com/Product/Product.aspx?item=1Z4-002P-00141"/>
    <hyperlink ref="W60" r:id="rId128" display="https://www.newegg.com/Product/Product.aspx?item=1Z4-002P-00138"/>
    <hyperlink ref="W43" r:id="rId129" display="https://www.newegg.com/Product/Product.aspx?Item=22-179-129&amp;Tpk=22-179-129"/>
    <hyperlink ref="W91" r:id="rId130" display="http://www.newegg.com/Product/Product.aspx?Item=N82E16822149407&amp;utm_medium=Email&amp;utm_source=IGNEFL012518&amp;cm_mmc=EMC-IGNEFL012518-_-EMC-012518-Index-_-DesktopInternalHardDrives-_-22149407-S2A1C&amp;ignorebbr=1"/>
    <hyperlink ref="W90" r:id="rId131" display="https://www.newegg.com/Product/Product.aspx?item=N82E16822149382"/>
    <hyperlink ref="W92" r:id="rId132" display="https://www.newegg.com/Product/Product.aspx?item=N82E16822149408"/>
    <hyperlink ref="C98" r:id="rId133"/>
    <hyperlink ref="C98:C99" r:id="rId134" display="Enterprise Performance"/>
    <hyperlink ref="C101" r:id="rId135"/>
    <hyperlink ref="C96" r:id="rId136"/>
    <hyperlink ref="C97" r:id="rId137"/>
    <hyperlink ref="AE96" r:id="rId138"/>
    <hyperlink ref="AE97" r:id="rId139"/>
    <hyperlink ref="W99" r:id="rId140" display="https://www.newegg.com/Product/Product.aspx?Item=9SIA5EM5NM4192"/>
    <hyperlink ref="W38" r:id="rId141" display="https://www.newegg.com/Product/Product.aspx?Item=N82E16822178994&amp;ignorebbr=1"/>
    <hyperlink ref="W94" r:id="rId142" display="https://www.newegg.com/Product/Product.aspx?Item=1Z4-002P-000N0&amp;ignorebbr=1"/>
    <hyperlink ref="W67" r:id="rId143" display="https://www.amazon.com/Seagate-256MB-Cache-Enterprise-ST12000NM0007/dp/B0759Q9FXZ/ref=sr_1_3?ie=UTF8&amp;qid=1546068976&amp;sr=8-3&amp;keywords=ultrastar+he12"/>
    <hyperlink ref="W158" r:id="rId144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42" r:id="rId145" display="https://www.newegg.com/Product/Product.aspx?Item=22-179-130&amp;Tpk=22-179-130"/>
    <hyperlink ref="W162" r:id="rId146" display="http://www.newegg.com/Product/Product.aspx?Item=N82E16822235065&amp;utm_medium=Email&amp;utm_source=IGNEFL121517&amp;cm_mmc=EMC-IGNEFL121517-_-EMC-121517-Index-_-DesktopInternalHardDrives-_-22235065-S1A3A&amp;ignorebbr=1"/>
    <hyperlink ref="W119" r:id="rId147" display="https://www.newegg.com/Product/Product.aspx?Item=22-149-631&amp;Tpk=22-149-631"/>
    <hyperlink ref="W120" r:id="rId148" display="https://www.newegg.com/Product/Product.aspx?Item=22-149-632&amp;Tpk=22-149-632"/>
    <hyperlink ref="W121" r:id="rId149" display="https://www.newegg.com/Product/Product.aspx?Item=22-149-633&amp;Tpk=22-149-633"/>
    <hyperlink ref="C100" r:id="rId150"/>
    <hyperlink ref="W10" r:id="rId151" display="https://www.ebay.com/itm/HGST-Deskstar-7K2000-HDS722020ALA330-2TB-SATA-3-5-Internal-Hard-Drive/201826555832?epid=170151221&amp;hash=item2efdccd7b8:m:mvS_lQfe070JKO8PGvJJ9vw"/>
    <hyperlink ref="W9" r:id="rId152" display="https://www.ebay.com/itm/Hitachi-Ultrastar-HDD-1-0TB-7200RPM-32MB-SATA2-A7K2000-3-5-Desktop-Hard-Drive/261814211120?hash=item3cf557d230:g:K7kAAOSw34FVBxdH"/>
    <hyperlink ref="W34" r:id="rId153" display="https://www.newegg.com/Product/Product.aspx?Item=22-179-009&amp;utm_medium=Email&amp;utm_source=GD010318&amp;cm_mmc=EMC-GD010318-_-landing-_-Item-_-22-179-009"/>
    <hyperlink ref="W159" r:id="rId154" display="https://www.newegg.com/Product/Product.aspx?Item=1Z4-0002-002R5&amp;cm_re=wd_red_nas_2.5-_-1Z4-0002-002R5-_-Product"/>
    <hyperlink ref="W139" r:id="rId155" display="http://www.newegg.com/Product/Product.aspx?Item=N82E16822235012&amp;utm_medium=Email&amp;utm_source=IGNEFL010518&amp;cm_mmc=EMC-IGNEFL010518-_-EMC-010518-Index-_-DesktopInternalHardDrives-_-22235012-S1A5B&amp;ignorebbr=1"/>
    <hyperlink ref="C13" r:id="rId156"/>
    <hyperlink ref="W13" r:id="rId157" display="https://smile.amazon.com/HGST-Ultrastar-3-5-Inch-Enterprise-0F14683/dp/B007VL8WU6/ref=sr_1_8?s=prime-day&amp;ie=UTF8&amp;qid=1531855963&amp;sr=8-8&amp;keywords=hgst+deskstar"/>
    <hyperlink ref="W49" r:id="rId158" display="https://www.newegg.com/Product/Product.aspx?Item=9SIA5AD5WA7762&amp;utm_medium=Email&amp;utm_source=IGNEFL010418&amp;cm_mmc=EMC-IGNEFL010418-_-EMC-010418-Index-_-DesktopInternalHardDrives-_-9SIA5AD5WA7762-S1A6B&amp;ignorebbr=1"/>
    <hyperlink ref="C49" r:id="rId159"/>
    <hyperlink ref="C206" r:id="rId160" display="1 dB = .1 B (bel)"/>
    <hyperlink ref="W41" r:id="rId161" display="https://smile.amazon.com/Seagate-Drives-Barracuda-3-5-Inch-Internal/dp/B075WYBQXJ/ref=sr_1_2?s=prime-day&amp;psr=PDAY&amp;ie=UTF8&amp;qid=1531854865&amp;sr=1-2&amp;keywords=seagate+ironwolf&amp;smid=ATVPDKIKX0DER&amp;dpID=51eCqVfTTNL&amp;preST=_SY300_QL70_&amp;dpSrc=srch"/>
    <hyperlink ref="W35" r:id="rId162" display="https://www.newegg.com/Product/Product.aspx?Item=N82E16822179104"/>
    <hyperlink ref="W7" r:id="rId163" display="https://www.newegg.com/Product/Product.aspx?Item=N82E16822145584"/>
    <hyperlink ref="C19" r:id="rId164" display="Ultrastar C10K1200"/>
    <hyperlink ref="W19" r:id="rId165" display="https://www.newegg.com/Product/Product.aspx?Item=9SIA99462P4004"/>
    <hyperlink ref="C135:C136" r:id="rId166" display="Blue"/>
    <hyperlink ref="W135" r:id="rId167" display="https://www.newegg.com/Product/Product.aspx?item=N82E16822236496"/>
    <hyperlink ref="W136" r:id="rId168" display="https://www.newegg.com/Product/Product.aspx?item=1B0-0020-000G1"/>
    <hyperlink ref="W31" r:id="rId169" display="https://www.newegg.com/Product/Product.aspx?Item=N82E16822179108"/>
    <hyperlink ref="C69:C70" r:id="rId170" location="2-5-inch-specs" display="FireCuda SSHD"/>
    <hyperlink ref="W70" r:id="rId171" display="http://www.newegg.com/Product/Product.aspx?Item=N82E16822179110&amp;utm_medium=Email&amp;utm_source=IGNEFL121917&amp;cm_mmc=EMC-IGNEFL121917-_-EMC-121917-Index-_-LaptopInternalHardDrives-_-22179110-S2A3A&amp;ignorebbr=1"/>
    <hyperlink ref="W69" r:id="rId172" display="https://smile.amazon.com/Seagate-Firecuda-2-5-Inch-Internal-ST1000LX015/dp/B01LWRTRZU/ref=sr_1_cc_8?s=aps&amp;psr=PDAY&amp;ie=UTF8&amp;qid=1531855616&amp;sr=1-8-catcorr&amp;keywords=seagate"/>
    <hyperlink ref="W33" r:id="rId173" display="https://www.newegg.com/Product/Product.aspx?Item=N82E16822179106"/>
    <hyperlink ref="W55" r:id="rId174" display="https://www.newegg.com/Product/Product.aspx?Item=9SIA5AD6KR4743"/>
    <hyperlink ref="W58" r:id="rId175" display="https://www.newegg.com/Product/Product.aspx?Item=9SIAAEE6CZ1509"/>
    <hyperlink ref="W57" r:id="rId176" display="https://www.newegg.com/Product/Product.aspx?Item=9SIA5AD6KR4743"/>
    <hyperlink ref="W59" r:id="rId177" display="https://www.newegg.com/Product/Product.aspx?item=1Z4-002P-00142"/>
    <hyperlink ref="C50" r:id="rId178"/>
    <hyperlink ref="W50" r:id="rId179" display="https://www.newegg.com/Product/Product.aspx?Item=9SIAAEE6NW9609"/>
    <hyperlink ref="W104" r:id="rId180" display="https://www.newegg.com/Product/Product.aspx?Item=N82E16822149667&amp;cm_re=2.5%22_toshiba-_-22-149-667-_-Product"/>
    <hyperlink ref="C104" r:id="rId181"/>
    <hyperlink ref="C12" r:id="rId182"/>
    <hyperlink ref="C11" r:id="rId183"/>
    <hyperlink ref="W71" r:id="rId184" display="https://www.newegg.com/Product/Product.aspx?Item=N82E16822178995&amp;utm_medium=Email&amp;utm_source=IGNEFL011618C&amp;cm_mmc=EMC-IGNEFL011618C-_-EMC-011618-Latest-_-DesktopInternalHardDrives-_-22178995-S1A1C&amp;ignorebbr=1"/>
    <hyperlink ref="W51" r:id="rId185" display="https://www.newegg.com/Product/Product.aspx?Item=9SIA5EM6HG5028&amp;cm_re=segate_2.5%22_disk_drive-_-1B4-00VK-00017-_-Product"/>
    <hyperlink ref="W52" r:id="rId186" display="https://www.newegg.com/Product/Product.aspx?Item=9SIA6ZP6P20888&amp;cm_re=segate_2.5%22_disk_drive-_-1Z4-002P-008Z8-_-Product"/>
    <hyperlink ref="W12" r:id="rId187" display="https://www.cdw.com/shop/products/HGST-Ultrastar-7K4000-HUS724030ALS640-hard-drive-3-TB-SAS-6Gb-s/3341368.aspx"/>
    <hyperlink ref="C24" r:id="rId188"/>
    <hyperlink ref="W3" r:id="rId189" display="https://www.newegg.com/Product/ComboBundleDetails.aspx?ItemList=Combo.3836695&amp;utm_medium=Email&amp;utm_source=IGNEFL062918&amp;cm_mmc=EMC-IGNEFL062918-_-EMC-062918-Index-_-Combo-_-Blitz-Combo3836695-S0&amp;ignorebbr=1"/>
    <hyperlink ref="W161" r:id="rId190" display="https://www.newegg.com/Product/Product.aspx?item=N82E16822235064"/>
    <hyperlink ref="W11" r:id="rId191" display="https://www.newegg.com/Product/Product.aspx?Item=N82E16822145620"/>
    <hyperlink ref="W27" r:id="rId192" display="http://optocrypto.com/2017/10/04/western-digital-launches-new-hgst-ultrastar-hs14-14tb-hard-drive/"/>
    <hyperlink ref="W53" r:id="rId193" display="http://www.sears.com/seagate-st900mp0146-900gb-2.5-sas-15k-rpm/p-SPM8883839723"/>
    <hyperlink ref="W93" r:id="rId194" display="https://www.ebay.com/itm/NEW-HGST-HDD-6TB-SAS-12GB-S-ULTRASTAR-7K6000-0F22919-0F22810-WD-WDC-GOLD-RE-0F/292311517557?epid=595133558&amp;hash=item440f1fc975:g:XiEAAOSw-olZ9tZu"/>
    <hyperlink ref="W102" r:id="rId195" display="https://www.newegg.com/Product/Product.aspx?Item=9SIA6CC6KC0450"/>
    <hyperlink ref="W101" r:id="rId196" display="https://www.newegg.com/Product/Product.aspx?Item=9SIA5EM5NM4360"/>
    <hyperlink ref="W141" r:id="rId197" display="https://www.newegg.com/Product/Product.aspx?Item=9SIA67S3GU1425&amp;cm_re=WD_blue_6tb-_-22-235-009-_-Product"/>
    <hyperlink ref="W160" r:id="rId198" display="https://www.newegg.com/Product/Product.aspx?Item=9SIAAEE6P41222&amp;cm_re=wd_pro_3tb-_-22-236-740-_-Product"/>
    <hyperlink ref="W155" r:id="rId199" display="https://www.newegg.com/Product/Product.aspx?Item=9SIA67S3GU1457&amp;cm_re=WD_red_nas_5tb-_-22-236-738-_-Product"/>
    <hyperlink ref="W122" r:id="rId200" display="https://www.newegg.com/Product/Product.aspx?Item=N82E16822149644"/>
    <hyperlink ref="C61" r:id="rId201"/>
    <hyperlink ref="W61" r:id="rId202" display="https://www.newegg.com/Product/Product.aspx?item=1Z4-002P-00148"/>
    <hyperlink ref="W40" r:id="rId203" display="https://www.newegg.com/Product/Product.aspx?item=9SIA2F86R49684"/>
    <hyperlink ref="W89" r:id="rId204" display="https://www.newegg.com/Product/Product.aspx?Item=9SIA24G1S88436&amp;cm_re=terascale-_-22-178-401-_-Product"/>
    <hyperlink ref="W18" r:id="rId205" display="https://www.newegg.com/Product/Product.aspx?Item=2RC-00D4-000H4&amp;ignorebbr=1&amp;cm_re=ultrastar_7k6000-_-2RC-00D4-000H4-_-Product"/>
    <hyperlink ref="W66" r:id="rId206" display="https://www.newegg.com/Product/Product.aspx?item=N82E16822178941"/>
    <hyperlink ref="W65" r:id="rId207" display="https://www.cdw.com/product/Seagate-Enterprise-Capacity-3.5-HDD-ST8000NM0055-hard-drive-8-TB-SATA/3851249?pfm=srh"/>
    <hyperlink ref="W103" r:id="rId208" display="https://www.newegg.com/Product/Product.aspx?Item=1Z4-000B-001U4&amp;cm_re=2.5%22_toshiba-_-1Z4-000B-001U4-_-Product"/>
    <hyperlink ref="C116" r:id="rId209"/>
    <hyperlink ref="C105" r:id="rId210"/>
    <hyperlink ref="C125" r:id="rId211"/>
    <hyperlink ref="W125" r:id="rId212" display="http://www.newegg.com/Product/Product.aspx?Item=N82E16822149698&amp;utm_medium=Email&amp;utm_source=IGNEFL010418&amp;cm_mmc=EMC-IGNEFL010418-_-EMC-010418-Index-_-DesktopInternalHardDrives-_-22149698-S1A5A&amp;ignorebbr=1"/>
    <hyperlink ref="W85" r:id="rId213" display="https://www.ebay.com/itm/NEW-SEAGATE-NAS-HDD-8TB-7200RPM-ST8000NC0002-SATA-WD-RED-IRONWOLF-PRO-TERASCALE/292239419204?epid=2110441349&amp;hash=item440ad3a744:g:hgoAAOSw81dZrN2K"/>
    <hyperlink ref="C103" r:id="rId214"/>
    <hyperlink ref="W105" r:id="rId215" display="https://www.newegg.com/Product/Product.aspx?Item=9SIA0ZX7U05105&amp;cm_re=toshiba_l200-_-22-149-727-_-Product"/>
    <hyperlink ref="W95" r:id="rId216" display="http://www.memory4less.com/10tb-hard-disk-drives?filter=brand:toshiba;&amp;q=10tb-hard-disk-drives&amp;sz=20"/>
    <hyperlink ref="W96" r:id="rId217" display="https://www.amazon.com/Toshiba-12TB-SATA-7200RPM-Enterprise/dp/B07DNVC4S6/ref=sr_1_1?s=electronics&amp;ie=UTF8&amp;qid=1535514188&amp;sr=1-1&amp;keywords=Toshiba+12TB&amp;dpID=41oncuOTj4L&amp;preST=_SY300_QL70_&amp;dpSrc=srch"/>
    <hyperlink ref="W98" r:id="rId218" display="https://www.newegg.com/Product/Product.aspx?Item=9SIA5EM5NM4142"/>
    <hyperlink ref="W97" r:id="rId219" display="https://www.amazon.com/Toshiba-14TB-SATA-7200RPM-Enterprise/dp/B07DHY61JP"/>
    <hyperlink ref="C71" r:id="rId220"/>
    <hyperlink ref="C72" r:id="rId221"/>
    <hyperlink ref="W81" r:id="rId222" display="https://www.newegg.com/Product/Product.aspx?Item=N82E16822172025&amp;utm_medium=Email&amp;utm_source=EXPRESS112517&amp;cm_mmc=EMC-EXPRESS112517-_-EMC-112517-Index-_-DesktopInternalHardDrives-_-22172025-S1A3A&amp;ignorebbr=1"/>
    <hyperlink ref="C48" r:id="rId223"/>
    <hyperlink ref="C46:C47" r:id="rId224" display="BarraCuda Pro"/>
    <hyperlink ref="W68" r:id="rId225" display="https://www.newegg.com/Product/Product.aspx?Item=9SIAG9894V9945&amp;Description=exos&amp;cm_re=exos-_-9SIAG9894V9945-_-Product"/>
    <hyperlink ref="C81" r:id="rId226"/>
    <hyperlink ref="C88" r:id="rId227"/>
    <hyperlink ref="C111" r:id="rId228"/>
    <hyperlink ref="C112" r:id="rId229"/>
    <hyperlink ref="C110" r:id="rId230" display="MN07ACA12T"/>
    <hyperlink ref="C109" r:id="rId231" display="MN07ACA12T"/>
    <hyperlink ref="C108" r:id="rId232" display="MN07ACA12T"/>
    <hyperlink ref="C107" r:id="rId233" display="MN07ACA12T"/>
    <hyperlink ref="W54" r:id="rId234" display="https://www.newegg.com/Product/Product.aspx?Item=9SIA6ZP8BB1200&amp;Description=exos&amp;cm_re=exos-_-1Z4-0077-000A3-_-Product"/>
    <hyperlink ref="C126" r:id="rId235"/>
    <hyperlink ref="W126" r:id="rId236" display="http://www.newegg.com/Product/Product.aspx?Item=N82E16822149698&amp;utm_medium=Email&amp;utm_source=IGNEFL010418&amp;cm_mmc=EMC-IGNEFL010418-_-EMC-010418-Index-_-DesktopInternalHardDrives-_-22149698-S1A5A&amp;ignorebbr=1"/>
    <hyperlink ref="W127" r:id="rId237" display="https://www.newegg.com/Product/Product.aspx?Item=N82E16822149748&amp;Description=x300%20toshiba&amp;cm_re=x300_toshiba-_-22-149-748-_-Product"/>
    <hyperlink ref="C127" r:id="rId238"/>
    <hyperlink ref="W171" r:id="rId239" display="https://www.newegg.com/Product/Product.aspx?item=N82E16822234361"/>
    <hyperlink ref="W170" r:id="rId240" display="https://www.newegg.com/Product/Product.aspx?item=1Z4-0002-003M7"/>
    <hyperlink ref="W169" r:id="rId241" display="https://www.newegg.com/Product/Product.aspx?item=9SIA9948WN6331"/>
    <hyperlink ref="W168" r:id="rId242" display="https://www.newegg.com/Product/Product.aspx?item=N82E16822234362"/>
    <hyperlink ref="W167" r:id="rId243" display="https://www.newegg.com/Product/Product.aspx?item=N82E16822234363"/>
    <hyperlink ref="W166" r:id="rId244" display="https://www.newegg.com/Product/Product.aspx?item=1B0-0020-000P4"/>
    <hyperlink ref="W165" r:id="rId245" display="https://www.newegg.com/Product/Product.aspx?item=1B0-0020-000P2"/>
    <hyperlink ref="W172" r:id="rId246" display="https://www.newegg.com/Product/Product.aspx?item=N82E16822234360"/>
    <hyperlink ref="C173" r:id="rId247"/>
    <hyperlink ref="C174" r:id="rId248" display="Ultrastar DC"/>
    <hyperlink ref="AE165" r:id="rId249"/>
    <hyperlink ref="AE166:AE174" r:id="rId250" display="Helium filled"/>
    <hyperlink ref="C172" r:id="rId251" display="Ultrastar DC"/>
    <hyperlink ref="W173" r:id="rId252" display="https://www.ebay.com/p/HGST-Ultrastar-DC-HC620-14TB-Internal-7200-RPM-3-5-inch-HSH721414ALN6M0-Hard-Drive/17029957131"/>
    <hyperlink ref="C118" r:id="rId253"/>
    <hyperlink ref="W118" r:id="rId254" display="https://www.newegg.com/Product/Product.aspx?Item=N82E16822149729&amp;ignorebbr=1"/>
    <hyperlink ref="C117" r:id="rId255"/>
    <hyperlink ref="W117" r:id="rId256" display="https://www.newegg.com/Product/Product.aspx?Item=N82E16822149729&amp;ignorebbr=1"/>
    <hyperlink ref="C106" r:id="rId257"/>
    <hyperlink ref="W116" r:id="rId258" display="https://www.newegg.com/Product/Product.aspx?Item=N82E16822149729&amp;ignorebbr=1"/>
  </hyperlinks>
  <printOptions headings="1"/>
  <pageMargins left="0.3" right="0.3" top="0.75" bottom="0.75" header="0.3" footer="0.3"/>
  <pageSetup scale="42" fitToHeight="4" orientation="landscape" r:id="rId259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161 Q175:Q178" formula="1"/>
    <ignoredError sqref="Y5" calculatedColumn="1"/>
  </ignoredErrors>
  <drawing r:id="rId260"/>
  <legacyDrawing r:id="rId261"/>
  <tableParts count="1">
    <tablePart r:id="rId26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0"/>
  <sheetViews>
    <sheetView topLeftCell="A78" zoomScaleNormal="100" workbookViewId="0">
      <selection activeCell="G98" sqref="G98"/>
    </sheetView>
  </sheetViews>
  <sheetFormatPr defaultRowHeight="15" x14ac:dyDescent="0.25"/>
  <cols>
    <col min="1" max="1" width="15.42578125" customWidth="1"/>
    <col min="2" max="2" width="24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71" t="s">
        <v>48</v>
      </c>
      <c r="B2" s="72" t="s">
        <v>49</v>
      </c>
    </row>
    <row r="3" spans="1:4" x14ac:dyDescent="0.25">
      <c r="A3" s="71" t="s">
        <v>84</v>
      </c>
      <c r="B3" s="89">
        <v>3.5</v>
      </c>
    </row>
    <row r="4" spans="1:4" x14ac:dyDescent="0.25">
      <c r="A4" s="223" t="s">
        <v>81</v>
      </c>
      <c r="B4" s="224"/>
    </row>
    <row r="5" spans="1:4" x14ac:dyDescent="0.25">
      <c r="A5" s="75" t="s">
        <v>77</v>
      </c>
      <c r="B5" s="76" t="s">
        <v>155</v>
      </c>
    </row>
    <row r="6" spans="1:4" x14ac:dyDescent="0.25">
      <c r="A6" s="74">
        <v>0.9</v>
      </c>
      <c r="B6" s="73">
        <v>75.631086222222208</v>
      </c>
    </row>
    <row r="7" spans="1:4" x14ac:dyDescent="0.25">
      <c r="A7" s="74">
        <v>1</v>
      </c>
      <c r="B7" s="73">
        <v>23.815061234285711</v>
      </c>
    </row>
    <row r="8" spans="1:4" x14ac:dyDescent="0.25">
      <c r="A8" s="74">
        <v>2</v>
      </c>
      <c r="B8" s="73">
        <v>16.167672320000001</v>
      </c>
    </row>
    <row r="9" spans="1:4" x14ac:dyDescent="0.25">
      <c r="A9" s="74">
        <v>3</v>
      </c>
      <c r="B9" s="73">
        <v>12.449806186666667</v>
      </c>
    </row>
    <row r="10" spans="1:4" x14ac:dyDescent="0.25">
      <c r="A10" s="74">
        <v>4</v>
      </c>
      <c r="B10" s="73">
        <v>9.6869500833333344</v>
      </c>
      <c r="D10" s="70"/>
    </row>
    <row r="11" spans="1:4" x14ac:dyDescent="0.25">
      <c r="A11" s="74">
        <v>5</v>
      </c>
      <c r="B11" s="73">
        <v>12.950528160000001</v>
      </c>
    </row>
    <row r="12" spans="1:4" x14ac:dyDescent="0.25">
      <c r="A12" s="74">
        <v>6</v>
      </c>
      <c r="B12" s="73">
        <v>9.0224571466666674</v>
      </c>
    </row>
    <row r="13" spans="1:4" x14ac:dyDescent="0.25">
      <c r="A13" s="74">
        <v>8</v>
      </c>
      <c r="B13" s="73">
        <v>8.0020101599999993</v>
      </c>
    </row>
    <row r="14" spans="1:4" x14ac:dyDescent="0.25">
      <c r="A14" s="74">
        <v>10</v>
      </c>
      <c r="B14" s="73">
        <v>8.2570651551999994</v>
      </c>
    </row>
    <row r="15" spans="1:4" x14ac:dyDescent="0.25">
      <c r="A15" s="74">
        <v>12</v>
      </c>
      <c r="B15" s="73">
        <v>8.0389428533333334</v>
      </c>
    </row>
    <row r="16" spans="1:4" x14ac:dyDescent="0.25">
      <c r="A16" s="74">
        <v>14</v>
      </c>
      <c r="B16" s="73">
        <v>8.4669662742857152</v>
      </c>
    </row>
    <row r="17" spans="1:2" x14ac:dyDescent="0.25">
      <c r="A17" s="74">
        <v>16</v>
      </c>
      <c r="B17" s="73" t="e">
        <v>#DIV/0!</v>
      </c>
    </row>
    <row r="18" spans="1:2" x14ac:dyDescent="0.25">
      <c r="A18" s="77" t="s">
        <v>80</v>
      </c>
      <c r="B18" s="73">
        <v>11.982941037411015</v>
      </c>
    </row>
    <row r="20" spans="1:2" x14ac:dyDescent="0.25">
      <c r="A20" s="71" t="s">
        <v>48</v>
      </c>
      <c r="B20" s="72" t="s">
        <v>49</v>
      </c>
    </row>
    <row r="21" spans="1:2" x14ac:dyDescent="0.25">
      <c r="A21" s="71" t="s">
        <v>84</v>
      </c>
      <c r="B21" s="89">
        <v>3.5</v>
      </c>
    </row>
    <row r="22" spans="1:2" x14ac:dyDescent="0.25">
      <c r="A22" s="228" t="s">
        <v>88</v>
      </c>
      <c r="B22" s="229"/>
    </row>
    <row r="23" spans="1:2" x14ac:dyDescent="0.25">
      <c r="A23" s="71" t="s">
        <v>77</v>
      </c>
      <c r="B23" s="72" t="s">
        <v>82</v>
      </c>
    </row>
    <row r="24" spans="1:2" x14ac:dyDescent="0.25">
      <c r="A24" s="74">
        <v>0.9</v>
      </c>
      <c r="B24" s="80">
        <v>7.4021973333333335</v>
      </c>
    </row>
    <row r="25" spans="1:2" x14ac:dyDescent="0.25">
      <c r="A25" s="74">
        <v>1</v>
      </c>
      <c r="B25" s="80">
        <v>4.3847583771428571</v>
      </c>
    </row>
    <row r="26" spans="1:2" x14ac:dyDescent="0.25">
      <c r="A26" s="74">
        <v>2</v>
      </c>
      <c r="B26" s="80">
        <v>2.810621410909091</v>
      </c>
    </row>
    <row r="27" spans="1:2" x14ac:dyDescent="0.25">
      <c r="A27" s="74">
        <v>3</v>
      </c>
      <c r="B27" s="80">
        <v>2.06287552</v>
      </c>
    </row>
    <row r="28" spans="1:2" x14ac:dyDescent="0.25">
      <c r="A28" s="74">
        <v>4</v>
      </c>
      <c r="B28" s="80">
        <v>1.5968011846153845</v>
      </c>
    </row>
    <row r="29" spans="1:2" x14ac:dyDescent="0.25">
      <c r="A29" s="74">
        <v>5</v>
      </c>
      <c r="B29" s="80">
        <v>1.23597216</v>
      </c>
    </row>
    <row r="30" spans="1:2" x14ac:dyDescent="0.25">
      <c r="A30" s="74">
        <v>6</v>
      </c>
      <c r="B30" s="80">
        <v>1.1719708738461538</v>
      </c>
    </row>
    <row r="31" spans="1:2" x14ac:dyDescent="0.25">
      <c r="A31" s="74">
        <v>8</v>
      </c>
      <c r="B31" s="80">
        <v>0.82480323000000011</v>
      </c>
    </row>
    <row r="32" spans="1:2" x14ac:dyDescent="0.25">
      <c r="A32" s="74">
        <v>10</v>
      </c>
      <c r="B32" s="80">
        <v>0.60738747927272729</v>
      </c>
    </row>
    <row r="33" spans="1:2" x14ac:dyDescent="0.25">
      <c r="A33" s="74">
        <v>12</v>
      </c>
      <c r="B33" s="80">
        <v>0.42207540222222223</v>
      </c>
    </row>
    <row r="34" spans="1:2" x14ac:dyDescent="0.25">
      <c r="A34" s="74">
        <v>14</v>
      </c>
      <c r="B34" s="80">
        <v>0.3071817477551021</v>
      </c>
    </row>
    <row r="35" spans="1:2" x14ac:dyDescent="0.25">
      <c r="A35" s="74">
        <v>16</v>
      </c>
      <c r="B35" s="80"/>
    </row>
    <row r="36" spans="1:2" x14ac:dyDescent="0.25">
      <c r="A36" s="89" t="s">
        <v>83</v>
      </c>
      <c r="B36" s="80">
        <v>1.5419840885672427</v>
      </c>
    </row>
    <row r="38" spans="1:2" x14ac:dyDescent="0.25">
      <c r="A38" s="71" t="s">
        <v>48</v>
      </c>
      <c r="B38" s="72" t="s">
        <v>49</v>
      </c>
    </row>
    <row r="39" spans="1:2" x14ac:dyDescent="0.25">
      <c r="A39" s="71" t="s">
        <v>84</v>
      </c>
      <c r="B39" s="89">
        <v>3.5</v>
      </c>
    </row>
    <row r="40" spans="1:2" x14ac:dyDescent="0.25">
      <c r="A40" s="226" t="s">
        <v>90</v>
      </c>
      <c r="B40" s="227"/>
    </row>
    <row r="41" spans="1:2" x14ac:dyDescent="0.25">
      <c r="A41" s="71" t="s">
        <v>77</v>
      </c>
      <c r="B41" s="72" t="s">
        <v>89</v>
      </c>
    </row>
    <row r="42" spans="1:2" x14ac:dyDescent="0.25">
      <c r="A42" s="74">
        <v>0.9</v>
      </c>
      <c r="B42" s="80">
        <v>6.6619776000000002</v>
      </c>
    </row>
    <row r="43" spans="1:2" x14ac:dyDescent="0.25">
      <c r="A43" s="74">
        <v>1</v>
      </c>
      <c r="B43" s="80">
        <v>4.8609269828571433</v>
      </c>
    </row>
    <row r="44" spans="1:2" x14ac:dyDescent="0.25">
      <c r="A44" s="74">
        <v>2</v>
      </c>
      <c r="B44" s="80">
        <v>5.8905907200000005</v>
      </c>
    </row>
    <row r="45" spans="1:2" x14ac:dyDescent="0.25">
      <c r="A45" s="74">
        <v>3</v>
      </c>
      <c r="B45" s="80">
        <v>6.1886265600000003</v>
      </c>
    </row>
    <row r="46" spans="1:2" x14ac:dyDescent="0.25">
      <c r="A46" s="74">
        <v>4</v>
      </c>
      <c r="B46" s="80">
        <v>6.5581370584615382</v>
      </c>
    </row>
    <row r="47" spans="1:2" x14ac:dyDescent="0.25">
      <c r="A47" s="74">
        <v>5</v>
      </c>
      <c r="B47" s="80">
        <v>6.1798608000000002</v>
      </c>
    </row>
    <row r="48" spans="1:2" x14ac:dyDescent="0.25">
      <c r="A48" s="74">
        <v>6</v>
      </c>
      <c r="B48" s="80">
        <v>7.1457801230769231</v>
      </c>
    </row>
    <row r="49" spans="1:3" x14ac:dyDescent="0.25">
      <c r="A49" s="74">
        <v>8</v>
      </c>
      <c r="B49" s="80">
        <v>6.6601514000000002</v>
      </c>
    </row>
    <row r="50" spans="1:3" x14ac:dyDescent="0.25">
      <c r="A50" s="74">
        <v>10</v>
      </c>
      <c r="B50" s="80">
        <v>6.0738747927272732</v>
      </c>
    </row>
    <row r="51" spans="1:3" x14ac:dyDescent="0.25">
      <c r="A51" s="74">
        <v>12</v>
      </c>
      <c r="B51" s="80">
        <v>4.9826040800000007</v>
      </c>
    </row>
    <row r="52" spans="1:3" x14ac:dyDescent="0.25">
      <c r="A52" s="74">
        <v>14</v>
      </c>
      <c r="B52" s="80">
        <v>4.3005444685714291</v>
      </c>
    </row>
    <row r="53" spans="1:3" x14ac:dyDescent="0.25">
      <c r="A53" s="74">
        <v>16</v>
      </c>
      <c r="B53" s="80"/>
    </row>
    <row r="54" spans="1:3" x14ac:dyDescent="0.25">
      <c r="A54" s="89" t="s">
        <v>83</v>
      </c>
      <c r="B54" s="80">
        <v>6.0287959305494523</v>
      </c>
    </row>
    <row r="57" spans="1:3" x14ac:dyDescent="0.25">
      <c r="A57" s="78" t="s">
        <v>48</v>
      </c>
      <c r="B57" t="s">
        <v>49</v>
      </c>
    </row>
    <row r="58" spans="1:3" x14ac:dyDescent="0.25">
      <c r="A58" s="78" t="s">
        <v>84</v>
      </c>
      <c r="B58" s="79">
        <v>3.5</v>
      </c>
      <c r="C58" s="88"/>
    </row>
    <row r="59" spans="1:3" x14ac:dyDescent="0.25">
      <c r="A59" s="225" t="s">
        <v>93</v>
      </c>
      <c r="B59" s="225"/>
    </row>
    <row r="60" spans="1:3" x14ac:dyDescent="0.25">
      <c r="A60" s="78" t="s">
        <v>77</v>
      </c>
      <c r="B60" t="s">
        <v>92</v>
      </c>
    </row>
    <row r="61" spans="1:3" x14ac:dyDescent="0.25">
      <c r="A61" s="90">
        <v>5400</v>
      </c>
      <c r="B61" s="67">
        <v>46.800712291666663</v>
      </c>
    </row>
    <row r="62" spans="1:3" x14ac:dyDescent="0.25">
      <c r="A62" s="91" t="s">
        <v>6</v>
      </c>
      <c r="B62" s="67">
        <v>46.800712291666663</v>
      </c>
    </row>
    <row r="63" spans="1:3" x14ac:dyDescent="0.25">
      <c r="A63" s="90">
        <v>5760</v>
      </c>
      <c r="B63" s="67">
        <v>47.986666666666672</v>
      </c>
    </row>
    <row r="64" spans="1:3" x14ac:dyDescent="0.25">
      <c r="A64" s="91" t="s">
        <v>6</v>
      </c>
      <c r="B64" s="67">
        <v>47.986666666666672</v>
      </c>
    </row>
    <row r="65" spans="1:2" x14ac:dyDescent="0.25">
      <c r="A65" s="90">
        <v>5900</v>
      </c>
      <c r="B65" s="67">
        <v>50.323373333333336</v>
      </c>
    </row>
    <row r="66" spans="1:2" x14ac:dyDescent="0.25">
      <c r="A66" s="91" t="s">
        <v>10</v>
      </c>
      <c r="B66" s="67">
        <v>50.323373333333336</v>
      </c>
    </row>
    <row r="67" spans="1:2" x14ac:dyDescent="0.25">
      <c r="A67" s="90">
        <v>7200</v>
      </c>
      <c r="B67" s="67">
        <v>47.824251196825387</v>
      </c>
    </row>
    <row r="68" spans="1:2" x14ac:dyDescent="0.25">
      <c r="A68" s="91" t="s">
        <v>15</v>
      </c>
      <c r="B68" s="67">
        <v>52.362161372549018</v>
      </c>
    </row>
    <row r="69" spans="1:2" x14ac:dyDescent="0.25">
      <c r="A69" s="91" t="s">
        <v>10</v>
      </c>
      <c r="B69" s="67">
        <v>49.676105247619041</v>
      </c>
    </row>
    <row r="70" spans="1:2" x14ac:dyDescent="0.25">
      <c r="A70" s="91" t="s">
        <v>41</v>
      </c>
      <c r="B70" s="67">
        <v>35.267718333333335</v>
      </c>
    </row>
    <row r="71" spans="1:2" x14ac:dyDescent="0.25">
      <c r="A71" s="91" t="s">
        <v>6</v>
      </c>
      <c r="B71" s="67">
        <v>49.121278344671204</v>
      </c>
    </row>
    <row r="72" spans="1:2" x14ac:dyDescent="0.25">
      <c r="A72" s="90">
        <v>15000</v>
      </c>
      <c r="B72" s="67">
        <v>341.14444444444439</v>
      </c>
    </row>
    <row r="73" spans="1:2" x14ac:dyDescent="0.25">
      <c r="A73" s="91" t="s">
        <v>10</v>
      </c>
      <c r="B73" s="67">
        <v>341.14444444444439</v>
      </c>
    </row>
    <row r="74" spans="1:2" x14ac:dyDescent="0.25">
      <c r="A74" s="90" t="s">
        <v>91</v>
      </c>
      <c r="B74" s="67">
        <v>51.133027954144595</v>
      </c>
    </row>
    <row r="77" spans="1:2" x14ac:dyDescent="0.25">
      <c r="A77" s="78" t="s">
        <v>48</v>
      </c>
      <c r="B77" t="s">
        <v>49</v>
      </c>
    </row>
    <row r="78" spans="1:2" x14ac:dyDescent="0.25">
      <c r="A78" s="78" t="s">
        <v>84</v>
      </c>
      <c r="B78" s="79">
        <v>3.5</v>
      </c>
    </row>
    <row r="79" spans="1:2" x14ac:dyDescent="0.25">
      <c r="A79" s="78" t="s">
        <v>1</v>
      </c>
      <c r="B79" t="s">
        <v>116</v>
      </c>
    </row>
    <row r="80" spans="1:2" x14ac:dyDescent="0.25">
      <c r="A80" s="78" t="s">
        <v>58</v>
      </c>
      <c r="B80" t="s">
        <v>116</v>
      </c>
    </row>
    <row r="82" spans="1:2" x14ac:dyDescent="0.25">
      <c r="A82" s="78" t="s">
        <v>77</v>
      </c>
      <c r="B82" t="s">
        <v>99</v>
      </c>
    </row>
    <row r="83" spans="1:2" x14ac:dyDescent="0.25">
      <c r="A83" s="79">
        <v>0.9</v>
      </c>
      <c r="B83" s="96"/>
    </row>
    <row r="84" spans="1:2" x14ac:dyDescent="0.25">
      <c r="A84" s="97">
        <v>15000</v>
      </c>
      <c r="B84" s="96"/>
    </row>
    <row r="85" spans="1:2" x14ac:dyDescent="0.25">
      <c r="A85" s="79">
        <v>1</v>
      </c>
      <c r="B85" s="96">
        <v>14.399999999999999</v>
      </c>
    </row>
    <row r="86" spans="1:2" x14ac:dyDescent="0.25">
      <c r="A86" s="97">
        <v>5400</v>
      </c>
      <c r="B86" s="96">
        <v>14.399999999999999</v>
      </c>
    </row>
    <row r="87" spans="1:2" x14ac:dyDescent="0.25">
      <c r="A87" s="97">
        <v>5900</v>
      </c>
      <c r="B87" s="96">
        <v>14.399999999999999</v>
      </c>
    </row>
    <row r="88" spans="1:2" x14ac:dyDescent="0.25">
      <c r="A88" s="97">
        <v>7200</v>
      </c>
      <c r="B88" s="96"/>
    </row>
    <row r="89" spans="1:2" x14ac:dyDescent="0.25">
      <c r="A89" s="79">
        <v>2</v>
      </c>
      <c r="B89" s="96">
        <v>24.311999999999998</v>
      </c>
    </row>
    <row r="90" spans="1:2" x14ac:dyDescent="0.25">
      <c r="A90" s="97">
        <v>5400</v>
      </c>
      <c r="B90" s="96">
        <v>20.759999999999998</v>
      </c>
    </row>
    <row r="91" spans="1:2" x14ac:dyDescent="0.25">
      <c r="A91" s="97">
        <v>5900</v>
      </c>
      <c r="B91" s="96">
        <v>24</v>
      </c>
    </row>
    <row r="92" spans="1:2" x14ac:dyDescent="0.25">
      <c r="A92" s="97">
        <v>7200</v>
      </c>
      <c r="B92" s="96">
        <v>25.599999999999998</v>
      </c>
    </row>
    <row r="93" spans="1:2" x14ac:dyDescent="0.25">
      <c r="A93" s="79">
        <v>3</v>
      </c>
      <c r="B93" s="96">
        <v>24.389999999999997</v>
      </c>
    </row>
    <row r="94" spans="1:2" x14ac:dyDescent="0.25">
      <c r="A94" s="97">
        <v>5400</v>
      </c>
      <c r="B94" s="96">
        <v>20.759999999999998</v>
      </c>
    </row>
    <row r="95" spans="1:2" x14ac:dyDescent="0.25">
      <c r="A95" s="97">
        <v>5900</v>
      </c>
      <c r="B95" s="96">
        <v>24</v>
      </c>
    </row>
    <row r="96" spans="1:2" x14ac:dyDescent="0.25">
      <c r="A96" s="97">
        <v>7200</v>
      </c>
      <c r="B96" s="96">
        <v>26.4</v>
      </c>
    </row>
    <row r="97" spans="1:2" x14ac:dyDescent="0.25">
      <c r="A97" s="79">
        <v>4</v>
      </c>
      <c r="B97" s="96">
        <v>25.409999999999997</v>
      </c>
    </row>
    <row r="98" spans="1:2" x14ac:dyDescent="0.25">
      <c r="A98" s="97">
        <v>5400</v>
      </c>
      <c r="B98" s="96">
        <v>21</v>
      </c>
    </row>
    <row r="99" spans="1:2" x14ac:dyDescent="0.25">
      <c r="A99" s="97">
        <v>5900</v>
      </c>
      <c r="B99" s="96">
        <v>22.8</v>
      </c>
    </row>
    <row r="100" spans="1:2" x14ac:dyDescent="0.25">
      <c r="A100" s="97">
        <v>7200</v>
      </c>
      <c r="B100" s="96">
        <v>27.336000000000002</v>
      </c>
    </row>
    <row r="101" spans="1:2" x14ac:dyDescent="0.25">
      <c r="A101" s="79">
        <v>5</v>
      </c>
      <c r="B101" s="96">
        <v>21</v>
      </c>
    </row>
    <row r="102" spans="1:2" x14ac:dyDescent="0.25">
      <c r="A102" s="97">
        <v>5400</v>
      </c>
      <c r="B102" s="96">
        <v>21</v>
      </c>
    </row>
    <row r="103" spans="1:2" x14ac:dyDescent="0.25">
      <c r="A103" s="97">
        <v>7200</v>
      </c>
      <c r="B103" s="96"/>
    </row>
    <row r="104" spans="1:2" x14ac:dyDescent="0.25">
      <c r="A104" s="79">
        <v>6</v>
      </c>
      <c r="B104" s="96">
        <v>23.616000000000003</v>
      </c>
    </row>
    <row r="105" spans="1:2" x14ac:dyDescent="0.25">
      <c r="A105" s="97">
        <v>5400</v>
      </c>
      <c r="B105" s="96">
        <v>21</v>
      </c>
    </row>
    <row r="106" spans="1:2" x14ac:dyDescent="0.25">
      <c r="A106" s="97">
        <v>5760</v>
      </c>
      <c r="B106" s="96"/>
    </row>
    <row r="107" spans="1:2" x14ac:dyDescent="0.25">
      <c r="A107" s="97">
        <v>7200</v>
      </c>
      <c r="B107" s="96">
        <v>24.270000000000003</v>
      </c>
    </row>
    <row r="108" spans="1:2" x14ac:dyDescent="0.25">
      <c r="A108" s="79">
        <v>8</v>
      </c>
      <c r="B108" s="96">
        <v>24.128333333333334</v>
      </c>
    </row>
    <row r="109" spans="1:2" x14ac:dyDescent="0.25">
      <c r="A109" s="97">
        <v>5400</v>
      </c>
      <c r="B109" s="96">
        <v>21.48</v>
      </c>
    </row>
    <row r="110" spans="1:2" x14ac:dyDescent="0.25">
      <c r="A110" s="97">
        <v>7200</v>
      </c>
      <c r="B110" s="96">
        <v>24.657999999999998</v>
      </c>
    </row>
    <row r="111" spans="1:2" x14ac:dyDescent="0.25">
      <c r="A111" s="79">
        <v>10</v>
      </c>
      <c r="B111" s="96">
        <v>25.027333333333335</v>
      </c>
    </row>
    <row r="112" spans="1:2" x14ac:dyDescent="0.25">
      <c r="A112" s="97">
        <v>5400</v>
      </c>
      <c r="B112" s="96">
        <v>21.48</v>
      </c>
    </row>
    <row r="113" spans="1:2" x14ac:dyDescent="0.25">
      <c r="A113" s="97">
        <v>7200</v>
      </c>
      <c r="B113" s="96">
        <v>25.736799999999999</v>
      </c>
    </row>
    <row r="114" spans="1:2" x14ac:dyDescent="0.25">
      <c r="A114" s="79">
        <v>12</v>
      </c>
      <c r="B114" s="96">
        <v>25.407333333333337</v>
      </c>
    </row>
    <row r="115" spans="1:2" x14ac:dyDescent="0.25">
      <c r="A115" s="97">
        <v>7200</v>
      </c>
      <c r="B115" s="96">
        <v>25.407333333333337</v>
      </c>
    </row>
    <row r="116" spans="1:2" x14ac:dyDescent="0.25">
      <c r="A116" s="79">
        <v>14</v>
      </c>
      <c r="B116" s="96">
        <v>25.451999999999998</v>
      </c>
    </row>
    <row r="117" spans="1:2" x14ac:dyDescent="0.25">
      <c r="A117" s="97">
        <v>7200</v>
      </c>
      <c r="B117" s="96">
        <v>25.451999999999998</v>
      </c>
    </row>
    <row r="118" spans="1:2" x14ac:dyDescent="0.25">
      <c r="A118" s="79">
        <v>16</v>
      </c>
      <c r="B118" s="96"/>
    </row>
    <row r="119" spans="1:2" x14ac:dyDescent="0.25">
      <c r="A119" s="97">
        <v>7200</v>
      </c>
      <c r="B119" s="96"/>
    </row>
    <row r="120" spans="1:2" x14ac:dyDescent="0.25">
      <c r="A120" s="79" t="s">
        <v>91</v>
      </c>
      <c r="B120" s="96">
        <v>24.103333333333335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4" workbookViewId="0">
      <selection activeCell="P15" sqref="P15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115</v>
      </c>
    </row>
    <row r="18" spans="1:1" x14ac:dyDescent="0.25">
      <c r="A18" t="s">
        <v>76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0" t="s">
        <v>48</v>
      </c>
      <c r="E1" s="9" t="s">
        <v>26</v>
      </c>
      <c r="F1" s="59" t="s">
        <v>7</v>
      </c>
      <c r="G1" s="9" t="s">
        <v>64</v>
      </c>
      <c r="H1" s="9" t="s">
        <v>66</v>
      </c>
      <c r="I1" s="31" t="s">
        <v>63</v>
      </c>
      <c r="J1" s="60" t="s">
        <v>62</v>
      </c>
      <c r="K1" s="31" t="s">
        <v>25</v>
      </c>
      <c r="L1" s="20" t="s">
        <v>61</v>
      </c>
      <c r="M1" s="20" t="s">
        <v>60</v>
      </c>
      <c r="N1" s="20" t="s">
        <v>58</v>
      </c>
      <c r="O1" s="30" t="s">
        <v>59</v>
      </c>
      <c r="P1" s="32" t="s">
        <v>35</v>
      </c>
      <c r="Q1" s="20" t="s">
        <v>8</v>
      </c>
      <c r="R1" s="20" t="s">
        <v>9</v>
      </c>
      <c r="S1" s="33" t="s">
        <v>30</v>
      </c>
      <c r="T1" s="31" t="s">
        <v>2</v>
      </c>
      <c r="U1" s="33" t="s">
        <v>3</v>
      </c>
      <c r="V1" s="32" t="s">
        <v>32</v>
      </c>
      <c r="W1" s="20" t="s">
        <v>47</v>
      </c>
      <c r="X1" s="33" t="s">
        <v>20</v>
      </c>
      <c r="Y1" s="31" t="s">
        <v>31</v>
      </c>
      <c r="Z1" s="20" t="s">
        <v>21</v>
      </c>
      <c r="AA1" s="20" t="s">
        <v>46</v>
      </c>
      <c r="AB1" s="11" t="s">
        <v>40</v>
      </c>
    </row>
    <row r="2" spans="1:28" ht="15.75" thickTop="1" x14ac:dyDescent="0.25">
      <c r="D2" s="65" t="s">
        <v>49</v>
      </c>
      <c r="E2" s="66">
        <v>10</v>
      </c>
      <c r="T2" t="s">
        <v>70</v>
      </c>
    </row>
    <row r="4" spans="1:28" x14ac:dyDescent="0.25">
      <c r="A4" s="67">
        <f>DVAR('Drive Table'!$A$2:$AE$174,"Cost",$A$1:$AB$2)</f>
        <v>6553.4670090909349</v>
      </c>
      <c r="B4" t="s">
        <v>75</v>
      </c>
    </row>
    <row r="5" spans="1:28" x14ac:dyDescent="0.25">
      <c r="A5" s="67">
        <f>DAVERAGE('Drive Table'!$A$2:$AE$174,"Cost",$A$1:$AB$2)</f>
        <v>364.17909090909086</v>
      </c>
      <c r="B5" t="s">
        <v>71</v>
      </c>
    </row>
    <row r="6" spans="1:28" x14ac:dyDescent="0.25">
      <c r="A6" s="67">
        <f>DMIN('Drive Table'!$A$2:$AE$174,"Cost",$A$1:$AB$2)</f>
        <v>264.99</v>
      </c>
      <c r="B6" t="s">
        <v>72</v>
      </c>
    </row>
    <row r="7" spans="1:28" x14ac:dyDescent="0.25">
      <c r="A7" s="67">
        <f>DMAX('Drive Table'!$A$2:$AE$174,"Cost",$A$1:$AB$2)</f>
        <v>540.67999999999995</v>
      </c>
      <c r="B7" t="s">
        <v>73</v>
      </c>
    </row>
    <row r="8" spans="1:28" x14ac:dyDescent="0.25">
      <c r="A8">
        <f>DCOUNTA('Drive Table'!$A$2:$AE$174,"Cost",$A$1:$AB$2)</f>
        <v>11</v>
      </c>
      <c r="B8" t="s">
        <v>74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2019-04-26T23:33:38Z</dcterms:modified>
</cp:coreProperties>
</file>