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showInkAnnotation="0" showPivotChartFilter="1"/>
  <xr:revisionPtr revIDLastSave="0" documentId="10_ncr:180000_{C86ACEB9-F2BB-4291-962B-3845F9352075}" xr6:coauthVersionLast="31" xr6:coauthVersionMax="31" xr10:uidLastSave="{00000000-0000-0000-0000-000000000000}"/>
  <bookViews>
    <workbookView xWindow="0" yWindow="0" windowWidth="21570" windowHeight="8595" xr2:uid="{00000000-000D-0000-FFFF-FFFF00000000}"/>
  </bookViews>
  <sheets>
    <sheet name="Drive Table" sheetId="1" r:id="rId1"/>
    <sheet name="Tables" sheetId="4" r:id="rId2"/>
    <sheet name="Charts" sheetId="2" r:id="rId3"/>
    <sheet name="Database" sheetId="3" r:id="rId4"/>
  </sheets>
  <definedNames>
    <definedName name="Active_Duty_Cycle">'Drive Table'!$D$160</definedName>
    <definedName name="CompareWarrYrs">'Drive Table'!$D$161</definedName>
    <definedName name="CostPerKWH">'Drive Table'!$D$159</definedName>
    <definedName name="Day_in_Year">'Drive Table'!$D$167</definedName>
    <definedName name="Days_In_Month">'Drive Table'!$D$166</definedName>
    <definedName name="Days_in_Year">'Drive Table'!$D$167</definedName>
    <definedName name="Exchange_Rate">'Drive Table'!$D$169</definedName>
    <definedName name="Hours_In_Day">'Drive Table'!$D$164</definedName>
    <definedName name="Hours_In_Month">'Drive Table'!$D$165</definedName>
    <definedName name="Incremental_Warr_Yr">'Drive Table'!$D$162</definedName>
    <definedName name="Months_In_Year">'Drive Table'!$D$168</definedName>
    <definedName name="Power_On_Hours_Year">'Drive Table'!$D$163</definedName>
    <definedName name="_xlnm.Print_Titles" localSheetId="0">'Drive Table'!$1:$2</definedName>
  </definedNames>
  <calcPr calcId="179017" iterate="1"/>
  <pivotCaches>
    <pivotCache cacheId="24" r:id="rId5"/>
    <pivotCache cacheId="29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19" i="1" l="1"/>
  <c r="V3" i="1" l="1"/>
  <c r="V4" i="1"/>
  <c r="V5" i="1"/>
  <c r="V6" i="1"/>
  <c r="U4" i="1"/>
  <c r="U5" i="1"/>
  <c r="U6" i="1"/>
  <c r="U3" i="1"/>
  <c r="AB112" i="1" l="1"/>
  <c r="W141" i="1"/>
  <c r="Z112" i="1" l="1"/>
  <c r="Z61" i="1"/>
  <c r="AA61" i="1" s="1"/>
  <c r="X93" i="1"/>
  <c r="X94" i="1"/>
  <c r="X95" i="1"/>
  <c r="X96" i="1"/>
  <c r="X97" i="1"/>
  <c r="X98" i="1"/>
  <c r="X99" i="1"/>
  <c r="X100" i="1"/>
  <c r="X101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8" i="1"/>
  <c r="X149" i="1"/>
  <c r="X5" i="1"/>
  <c r="X6" i="1"/>
  <c r="X7" i="1"/>
  <c r="X8" i="1"/>
  <c r="X9" i="1"/>
  <c r="X10" i="1"/>
  <c r="X11" i="1"/>
  <c r="X12" i="1"/>
  <c r="X13" i="1"/>
  <c r="X14" i="1"/>
  <c r="X15" i="1"/>
  <c r="X16" i="1"/>
  <c r="X18" i="1"/>
  <c r="X19" i="1"/>
  <c r="X20" i="1"/>
  <c r="X21" i="1"/>
  <c r="X22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9" i="1"/>
  <c r="X60" i="1"/>
  <c r="X61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3" i="1" l="1"/>
  <c r="P68" i="1"/>
  <c r="P67" i="1"/>
  <c r="X4" i="1"/>
  <c r="W127" i="1"/>
  <c r="X127" i="1" s="1"/>
  <c r="P99" i="1" l="1"/>
  <c r="W102" i="1" l="1"/>
  <c r="X102" i="1" s="1"/>
  <c r="Y85" i="1"/>
  <c r="Z85" i="1" s="1"/>
  <c r="AA85" i="1" s="1"/>
  <c r="D163" i="1" l="1"/>
  <c r="U99" i="1" l="1"/>
  <c r="V99" i="1" s="1"/>
  <c r="U98" i="1"/>
  <c r="W23" i="1"/>
  <c r="X23" i="1" s="1"/>
  <c r="W147" i="1"/>
  <c r="X147" i="1" s="1"/>
  <c r="Y101" i="1"/>
  <c r="Z101" i="1" s="1"/>
  <c r="AA101" i="1" s="1"/>
  <c r="P101" i="1"/>
  <c r="J101" i="1"/>
  <c r="Y105" i="1"/>
  <c r="Z105" i="1" s="1"/>
  <c r="AA105" i="1" s="1"/>
  <c r="P105" i="1"/>
  <c r="J105" i="1"/>
  <c r="J99" i="1"/>
  <c r="Y99" i="1"/>
  <c r="Z99" i="1" s="1"/>
  <c r="AA99" i="1" s="1"/>
  <c r="AB99" i="1" s="1"/>
  <c r="Y3" i="1" l="1"/>
  <c r="Z3" i="1" s="1"/>
  <c r="AA3" i="1" s="1"/>
  <c r="AB3" i="1" s="1"/>
  <c r="W17" i="1" l="1"/>
  <c r="X17" i="1" s="1"/>
  <c r="J40" i="1" l="1"/>
  <c r="P40" i="1"/>
  <c r="Y40" i="1"/>
  <c r="AC40" i="1"/>
  <c r="AD40" i="1"/>
  <c r="Z40" i="1" l="1"/>
  <c r="AA40" i="1" s="1"/>
  <c r="W58" i="1"/>
  <c r="X58" i="1" s="1"/>
  <c r="Y60" i="1"/>
  <c r="Z60" i="1" s="1"/>
  <c r="AA60" i="1" s="1"/>
  <c r="J60" i="1"/>
  <c r="W62" i="1"/>
  <c r="X62" i="1" s="1"/>
  <c r="Q49" i="1" l="1"/>
  <c r="Q51" i="1"/>
  <c r="Q50" i="1"/>
  <c r="P100" i="1"/>
  <c r="P92" i="1"/>
  <c r="P93" i="1"/>
  <c r="AD15" i="1" l="1"/>
  <c r="AD16" i="1"/>
  <c r="AD17" i="1"/>
  <c r="AD14" i="1"/>
  <c r="AC15" i="1"/>
  <c r="AC16" i="1"/>
  <c r="AC17" i="1"/>
  <c r="Y11" i="1"/>
  <c r="Z11" i="1" s="1"/>
  <c r="AA11" i="1" s="1"/>
  <c r="Q11" i="1"/>
  <c r="J11" i="1"/>
  <c r="Y12" i="1"/>
  <c r="Z12" i="1" s="1"/>
  <c r="AA12" i="1" s="1"/>
  <c r="Q12" i="1"/>
  <c r="J12" i="1"/>
  <c r="AC14" i="1"/>
  <c r="Q13" i="1"/>
  <c r="J100" i="1" l="1"/>
  <c r="Y100" i="1"/>
  <c r="Z100" i="1" s="1"/>
  <c r="AA100" i="1" s="1"/>
  <c r="Y49" i="1"/>
  <c r="Z49" i="1" s="1"/>
  <c r="AA49" i="1" s="1"/>
  <c r="J49" i="1"/>
  <c r="Y68" i="1"/>
  <c r="Z68" i="1" s="1"/>
  <c r="AA68" i="1" s="1"/>
  <c r="J68" i="1"/>
  <c r="Y67" i="1"/>
  <c r="Z67" i="1" s="1"/>
  <c r="AA67" i="1" s="1"/>
  <c r="J67" i="1"/>
  <c r="Y121" i="1"/>
  <c r="Z121" i="1" s="1"/>
  <c r="AA121" i="1" s="1"/>
  <c r="P121" i="1"/>
  <c r="J121" i="1"/>
  <c r="Y120" i="1"/>
  <c r="Z120" i="1" s="1"/>
  <c r="AA120" i="1" s="1"/>
  <c r="P120" i="1"/>
  <c r="J120" i="1"/>
  <c r="Y19" i="1"/>
  <c r="Z19" i="1" s="1"/>
  <c r="AA19" i="1" s="1"/>
  <c r="J19" i="1"/>
  <c r="P41" i="1" l="1"/>
  <c r="AD37" i="1"/>
  <c r="AC37" i="1"/>
  <c r="AC38" i="1"/>
  <c r="AD38" i="1"/>
  <c r="AD39" i="1"/>
  <c r="AC39" i="1"/>
  <c r="AD41" i="1"/>
  <c r="AC41" i="1"/>
  <c r="J41" i="1"/>
  <c r="Y41" i="1"/>
  <c r="Z41" i="1" s="1"/>
  <c r="AA41" i="1" s="1"/>
  <c r="Q48" i="1" l="1"/>
  <c r="J48" i="1"/>
  <c r="Y48" i="1"/>
  <c r="Z48" i="1" s="1"/>
  <c r="AA48" i="1" s="1"/>
  <c r="J13" i="1" l="1"/>
  <c r="Y13" i="1"/>
  <c r="Z13" i="1" s="1"/>
  <c r="AA13" i="1" s="1"/>
  <c r="Y28" i="1" l="1"/>
  <c r="Z28" i="1" s="1"/>
  <c r="AA28" i="1" s="1"/>
  <c r="Y29" i="1"/>
  <c r="Z29" i="1" s="1"/>
  <c r="AA29" i="1" s="1"/>
  <c r="Y30" i="1"/>
  <c r="Z30" i="1" s="1"/>
  <c r="AA30" i="1" s="1"/>
  <c r="AC150" i="1" l="1"/>
  <c r="AD150" i="1"/>
  <c r="AC151" i="1"/>
  <c r="AD151" i="1"/>
  <c r="AC152" i="1"/>
  <c r="AD152" i="1"/>
  <c r="AC153" i="1"/>
  <c r="AD153" i="1"/>
  <c r="AC154" i="1"/>
  <c r="AD154" i="1"/>
  <c r="P96" i="1" l="1"/>
  <c r="Y96" i="1"/>
  <c r="Z96" i="1" s="1"/>
  <c r="AA96" i="1" s="1"/>
  <c r="J96" i="1"/>
  <c r="Y93" i="1" l="1"/>
  <c r="Z93" i="1" s="1"/>
  <c r="AA93" i="1" s="1"/>
  <c r="J93" i="1"/>
  <c r="Y92" i="1"/>
  <c r="Z92" i="1" s="1"/>
  <c r="AA92" i="1" s="1"/>
  <c r="J92" i="1"/>
  <c r="Y97" i="1"/>
  <c r="Z97" i="1" s="1"/>
  <c r="AA97" i="1" s="1"/>
  <c r="P97" i="1"/>
  <c r="J97" i="1"/>
  <c r="Y94" i="1"/>
  <c r="Z94" i="1" s="1"/>
  <c r="AA94" i="1" s="1"/>
  <c r="P94" i="1"/>
  <c r="J94" i="1"/>
  <c r="P88" i="1"/>
  <c r="P87" i="1"/>
  <c r="P86" i="1"/>
  <c r="Y88" i="1"/>
  <c r="Z88" i="1" s="1"/>
  <c r="AA88" i="1" s="1"/>
  <c r="J88" i="1"/>
  <c r="Y87" i="1"/>
  <c r="Z87" i="1" s="1"/>
  <c r="AA87" i="1" s="1"/>
  <c r="J87" i="1"/>
  <c r="Y86" i="1"/>
  <c r="Z86" i="1" s="1"/>
  <c r="AA86" i="1" s="1"/>
  <c r="J86" i="1"/>
  <c r="Y6" i="1" l="1"/>
  <c r="Z6" i="1" s="1"/>
  <c r="AA6" i="1" s="1"/>
  <c r="AB6" i="1" s="1"/>
  <c r="J9" i="1" l="1"/>
  <c r="J10" i="1"/>
  <c r="Y10" i="1"/>
  <c r="Z10" i="1" s="1"/>
  <c r="AA10" i="1" s="1"/>
  <c r="Y9" i="1"/>
  <c r="Z9" i="1" s="1"/>
  <c r="AA9" i="1" s="1"/>
  <c r="Q27" i="1" l="1"/>
  <c r="P28" i="1"/>
  <c r="P29" i="1"/>
  <c r="P30" i="1"/>
  <c r="P3" i="1"/>
  <c r="P4" i="1"/>
  <c r="P5" i="1"/>
  <c r="P6" i="1"/>
  <c r="P36" i="1"/>
  <c r="P37" i="1"/>
  <c r="P38" i="1"/>
  <c r="P39" i="1"/>
  <c r="P31" i="1"/>
  <c r="P32" i="1"/>
  <c r="P33" i="1"/>
  <c r="P34" i="1"/>
  <c r="P35" i="1"/>
  <c r="P53" i="1"/>
  <c r="P71" i="1"/>
  <c r="P72" i="1"/>
  <c r="P73" i="1"/>
  <c r="P74" i="1"/>
  <c r="P85" i="1"/>
  <c r="P89" i="1"/>
  <c r="P90" i="1"/>
  <c r="P91" i="1"/>
  <c r="P95" i="1"/>
  <c r="P98" i="1"/>
  <c r="P102" i="1"/>
  <c r="P103" i="1"/>
  <c r="P104" i="1"/>
  <c r="P106" i="1"/>
  <c r="P107" i="1"/>
  <c r="P108" i="1"/>
  <c r="P109" i="1"/>
  <c r="P110" i="1"/>
  <c r="P111" i="1"/>
  <c r="P113" i="1"/>
  <c r="P114" i="1"/>
  <c r="P115" i="1"/>
  <c r="P116" i="1"/>
  <c r="P117" i="1"/>
  <c r="P118" i="1"/>
  <c r="P119" i="1"/>
  <c r="P122" i="1"/>
  <c r="P123" i="1"/>
  <c r="P124" i="1"/>
  <c r="P125" i="1"/>
  <c r="P126" i="1"/>
  <c r="P134" i="1"/>
  <c r="P135" i="1"/>
  <c r="P136" i="1"/>
  <c r="P137" i="1"/>
  <c r="P138" i="1"/>
  <c r="P139" i="1"/>
  <c r="P140" i="1"/>
  <c r="P141" i="1"/>
  <c r="P142" i="1"/>
  <c r="P143" i="1"/>
  <c r="Q3" i="1"/>
  <c r="Q4" i="1"/>
  <c r="Q5" i="1"/>
  <c r="Q6" i="1"/>
  <c r="Q37" i="1"/>
  <c r="Q38" i="1"/>
  <c r="Q31" i="1"/>
  <c r="Q32" i="1"/>
  <c r="Q33" i="1"/>
  <c r="Q34" i="1"/>
  <c r="Q35" i="1"/>
  <c r="Q45" i="1"/>
  <c r="Q65" i="1"/>
  <c r="Q66" i="1"/>
  <c r="Q71" i="1"/>
  <c r="Q72" i="1"/>
  <c r="Q73" i="1"/>
  <c r="Q74" i="1"/>
  <c r="Q75" i="1"/>
  <c r="Q76" i="1"/>
  <c r="Q77" i="1"/>
  <c r="Q78" i="1"/>
  <c r="Q79" i="1"/>
  <c r="Q80" i="1"/>
  <c r="Q81" i="1"/>
  <c r="Q82" i="1"/>
  <c r="Q115" i="1"/>
  <c r="Q123" i="1"/>
  <c r="Q124" i="1"/>
  <c r="Q125" i="1"/>
  <c r="Q126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Y4" i="1"/>
  <c r="Z4" i="1" s="1"/>
  <c r="AA4" i="1" s="1"/>
  <c r="AB4" i="1" s="1"/>
  <c r="Y5" i="1"/>
  <c r="Z5" i="1" s="1"/>
  <c r="AA5" i="1" s="1"/>
  <c r="AB5" i="1" s="1"/>
  <c r="Y7" i="1"/>
  <c r="Z7" i="1" s="1"/>
  <c r="AA7" i="1" s="1"/>
  <c r="Y8" i="1"/>
  <c r="Z8" i="1" s="1"/>
  <c r="AA8" i="1" s="1"/>
  <c r="Y14" i="1"/>
  <c r="Z14" i="1" s="1"/>
  <c r="AA14" i="1" s="1"/>
  <c r="Y15" i="1"/>
  <c r="Z15" i="1" s="1"/>
  <c r="AA15" i="1" s="1"/>
  <c r="Y16" i="1"/>
  <c r="Z16" i="1" s="1"/>
  <c r="AA16" i="1" s="1"/>
  <c r="Y17" i="1"/>
  <c r="Z17" i="1" s="1"/>
  <c r="AA17" i="1" s="1"/>
  <c r="Y18" i="1"/>
  <c r="Z18" i="1" s="1"/>
  <c r="AA18" i="1" s="1"/>
  <c r="Y20" i="1"/>
  <c r="Z20" i="1" s="1"/>
  <c r="AA20" i="1" s="1"/>
  <c r="Y21" i="1"/>
  <c r="Z21" i="1" s="1"/>
  <c r="AA21" i="1" s="1"/>
  <c r="Y22" i="1"/>
  <c r="Z22" i="1" s="1"/>
  <c r="AA22" i="1" s="1"/>
  <c r="Y23" i="1"/>
  <c r="Z23" i="1" s="1"/>
  <c r="AA23" i="1" s="1"/>
  <c r="Y24" i="1"/>
  <c r="Z24" i="1" s="1"/>
  <c r="AA24" i="1" s="1"/>
  <c r="Y25" i="1"/>
  <c r="Z25" i="1" s="1"/>
  <c r="AA25" i="1" s="1"/>
  <c r="Y26" i="1"/>
  <c r="Z26" i="1" s="1"/>
  <c r="AA26" i="1" s="1"/>
  <c r="Y27" i="1"/>
  <c r="Z27" i="1" s="1"/>
  <c r="AA27" i="1" s="1"/>
  <c r="Y36" i="1"/>
  <c r="Z36" i="1" s="1"/>
  <c r="AA36" i="1" s="1"/>
  <c r="Y37" i="1"/>
  <c r="Z37" i="1" s="1"/>
  <c r="AA37" i="1" s="1"/>
  <c r="Y38" i="1"/>
  <c r="Z38" i="1" s="1"/>
  <c r="AA38" i="1" s="1"/>
  <c r="Y39" i="1"/>
  <c r="Z39" i="1" s="1"/>
  <c r="AA39" i="1" s="1"/>
  <c r="Y31" i="1"/>
  <c r="Z31" i="1" s="1"/>
  <c r="AA31" i="1" s="1"/>
  <c r="Y32" i="1"/>
  <c r="Z32" i="1" s="1"/>
  <c r="AA32" i="1" s="1"/>
  <c r="Y33" i="1"/>
  <c r="Z33" i="1" s="1"/>
  <c r="AA33" i="1" s="1"/>
  <c r="Y34" i="1"/>
  <c r="Z34" i="1" s="1"/>
  <c r="AA34" i="1" s="1"/>
  <c r="Y35" i="1"/>
  <c r="Z35" i="1" s="1"/>
  <c r="AA35" i="1" s="1"/>
  <c r="Y42" i="1"/>
  <c r="Z42" i="1" s="1"/>
  <c r="AA42" i="1" s="1"/>
  <c r="Y43" i="1"/>
  <c r="Z43" i="1" s="1"/>
  <c r="AA43" i="1" s="1"/>
  <c r="Y44" i="1"/>
  <c r="Z44" i="1" s="1"/>
  <c r="AA44" i="1" s="1"/>
  <c r="Y45" i="1"/>
  <c r="Z45" i="1" s="1"/>
  <c r="AA45" i="1" s="1"/>
  <c r="Y46" i="1"/>
  <c r="Z46" i="1" s="1"/>
  <c r="AA46" i="1" s="1"/>
  <c r="Y47" i="1"/>
  <c r="Z47" i="1" s="1"/>
  <c r="AA47" i="1" s="1"/>
  <c r="Y50" i="1"/>
  <c r="Z50" i="1" s="1"/>
  <c r="AA50" i="1" s="1"/>
  <c r="Y51" i="1"/>
  <c r="Z51" i="1" s="1"/>
  <c r="AA51" i="1" s="1"/>
  <c r="Y52" i="1"/>
  <c r="Z52" i="1" s="1"/>
  <c r="AA52" i="1" s="1"/>
  <c r="Y53" i="1"/>
  <c r="Z53" i="1" s="1"/>
  <c r="AA53" i="1" s="1"/>
  <c r="Y54" i="1"/>
  <c r="Z54" i="1" s="1"/>
  <c r="AA54" i="1" s="1"/>
  <c r="Y55" i="1"/>
  <c r="Z55" i="1" s="1"/>
  <c r="AA55" i="1" s="1"/>
  <c r="Y56" i="1"/>
  <c r="Z56" i="1" s="1"/>
  <c r="AA56" i="1" s="1"/>
  <c r="Y57" i="1"/>
  <c r="Z57" i="1" s="1"/>
  <c r="AA57" i="1" s="1"/>
  <c r="Y58" i="1"/>
  <c r="Z58" i="1" s="1"/>
  <c r="AA58" i="1" s="1"/>
  <c r="Y59" i="1"/>
  <c r="Z59" i="1" s="1"/>
  <c r="AA59" i="1" s="1"/>
  <c r="Y62" i="1"/>
  <c r="Z62" i="1" s="1"/>
  <c r="AA62" i="1" s="1"/>
  <c r="Y63" i="1"/>
  <c r="Z63" i="1" s="1"/>
  <c r="AA63" i="1" s="1"/>
  <c r="Y64" i="1"/>
  <c r="Z64" i="1" s="1"/>
  <c r="AA64" i="1" s="1"/>
  <c r="Y65" i="1"/>
  <c r="Z65" i="1" s="1"/>
  <c r="AA65" i="1" s="1"/>
  <c r="Y66" i="1"/>
  <c r="Z66" i="1" s="1"/>
  <c r="AA66" i="1" s="1"/>
  <c r="Y69" i="1"/>
  <c r="Z69" i="1" s="1"/>
  <c r="AA69" i="1" s="1"/>
  <c r="Y70" i="1"/>
  <c r="Z70" i="1" s="1"/>
  <c r="AA70" i="1" s="1"/>
  <c r="Y71" i="1"/>
  <c r="Z71" i="1" s="1"/>
  <c r="AA71" i="1" s="1"/>
  <c r="Y72" i="1"/>
  <c r="Z72" i="1" s="1"/>
  <c r="AA72" i="1" s="1"/>
  <c r="Y73" i="1"/>
  <c r="Z73" i="1" s="1"/>
  <c r="AA73" i="1" s="1"/>
  <c r="Y74" i="1"/>
  <c r="Z74" i="1" s="1"/>
  <c r="AA74" i="1" s="1"/>
  <c r="Y75" i="1"/>
  <c r="Z75" i="1" s="1"/>
  <c r="AA75" i="1" s="1"/>
  <c r="Y76" i="1"/>
  <c r="Z76" i="1" s="1"/>
  <c r="AA76" i="1" s="1"/>
  <c r="Y77" i="1"/>
  <c r="Z77" i="1" s="1"/>
  <c r="AA77" i="1" s="1"/>
  <c r="Y78" i="1"/>
  <c r="Z78" i="1" s="1"/>
  <c r="AA78" i="1" s="1"/>
  <c r="Y79" i="1"/>
  <c r="Z79" i="1" s="1"/>
  <c r="AA79" i="1" s="1"/>
  <c r="Y80" i="1"/>
  <c r="Z80" i="1" s="1"/>
  <c r="AA80" i="1" s="1"/>
  <c r="Y81" i="1"/>
  <c r="Z81" i="1" s="1"/>
  <c r="AA81" i="1" s="1"/>
  <c r="Y82" i="1"/>
  <c r="Z82" i="1" s="1"/>
  <c r="AA82" i="1" s="1"/>
  <c r="Y83" i="1"/>
  <c r="Z83" i="1" s="1"/>
  <c r="AA83" i="1" s="1"/>
  <c r="Y84" i="1"/>
  <c r="Z84" i="1" s="1"/>
  <c r="AA84" i="1" s="1"/>
  <c r="Y89" i="1"/>
  <c r="Z89" i="1" s="1"/>
  <c r="AA89" i="1" s="1"/>
  <c r="Y90" i="1"/>
  <c r="Z90" i="1" s="1"/>
  <c r="AA90" i="1" s="1"/>
  <c r="Y91" i="1"/>
  <c r="Z91" i="1" s="1"/>
  <c r="AA91" i="1" s="1"/>
  <c r="Y95" i="1"/>
  <c r="Z95" i="1" s="1"/>
  <c r="AA95" i="1" s="1"/>
  <c r="Y98" i="1"/>
  <c r="Z98" i="1" s="1"/>
  <c r="AA98" i="1" s="1"/>
  <c r="Y102" i="1"/>
  <c r="Z102" i="1" s="1"/>
  <c r="AA102" i="1" s="1"/>
  <c r="Y103" i="1"/>
  <c r="Z103" i="1" s="1"/>
  <c r="AA103" i="1" s="1"/>
  <c r="Y104" i="1"/>
  <c r="Z104" i="1" s="1"/>
  <c r="AA104" i="1" s="1"/>
  <c r="Y106" i="1"/>
  <c r="Z106" i="1" s="1"/>
  <c r="AA106" i="1" s="1"/>
  <c r="Y107" i="1"/>
  <c r="Z107" i="1" s="1"/>
  <c r="AA107" i="1" s="1"/>
  <c r="Y108" i="1"/>
  <c r="Z108" i="1" s="1"/>
  <c r="AA108" i="1" s="1"/>
  <c r="Y109" i="1"/>
  <c r="Z109" i="1" s="1"/>
  <c r="AA109" i="1" s="1"/>
  <c r="Y110" i="1"/>
  <c r="Z110" i="1" s="1"/>
  <c r="AA110" i="1" s="1"/>
  <c r="Y111" i="1"/>
  <c r="Z111" i="1" s="1"/>
  <c r="AA111" i="1" s="1"/>
  <c r="Y113" i="1"/>
  <c r="Z113" i="1" s="1"/>
  <c r="AA113" i="1" s="1"/>
  <c r="Y114" i="1"/>
  <c r="Z114" i="1" s="1"/>
  <c r="AA114" i="1" s="1"/>
  <c r="Y115" i="1"/>
  <c r="Z115" i="1" s="1"/>
  <c r="AA115" i="1" s="1"/>
  <c r="Y116" i="1"/>
  <c r="Z116" i="1" s="1"/>
  <c r="AA116" i="1" s="1"/>
  <c r="Y117" i="1"/>
  <c r="Z117" i="1" s="1"/>
  <c r="AA117" i="1" s="1"/>
  <c r="Y118" i="1"/>
  <c r="Z118" i="1" s="1"/>
  <c r="AA118" i="1" s="1"/>
  <c r="Y119" i="1"/>
  <c r="Z119" i="1" s="1"/>
  <c r="AA119" i="1" s="1"/>
  <c r="Y122" i="1"/>
  <c r="Z122" i="1" s="1"/>
  <c r="AA122" i="1" s="1"/>
  <c r="Y123" i="1"/>
  <c r="Z123" i="1" s="1"/>
  <c r="AA123" i="1" s="1"/>
  <c r="Y124" i="1"/>
  <c r="Z124" i="1" s="1"/>
  <c r="AA124" i="1" s="1"/>
  <c r="Y125" i="1"/>
  <c r="Z125" i="1" s="1"/>
  <c r="AA125" i="1" s="1"/>
  <c r="Y126" i="1"/>
  <c r="Z126" i="1" s="1"/>
  <c r="AA126" i="1" s="1"/>
  <c r="Y127" i="1"/>
  <c r="Z127" i="1" s="1"/>
  <c r="AA127" i="1" s="1"/>
  <c r="Y128" i="1"/>
  <c r="Z128" i="1" s="1"/>
  <c r="AA128" i="1" s="1"/>
  <c r="Y129" i="1"/>
  <c r="Z129" i="1" s="1"/>
  <c r="AA129" i="1" s="1"/>
  <c r="Y130" i="1"/>
  <c r="Z130" i="1" s="1"/>
  <c r="AA130" i="1" s="1"/>
  <c r="Y131" i="1"/>
  <c r="Z131" i="1" s="1"/>
  <c r="AA131" i="1" s="1"/>
  <c r="Y132" i="1"/>
  <c r="Z132" i="1" s="1"/>
  <c r="AA132" i="1" s="1"/>
  <c r="Y133" i="1"/>
  <c r="Z133" i="1" s="1"/>
  <c r="AA133" i="1" s="1"/>
  <c r="Y134" i="1"/>
  <c r="Z134" i="1" s="1"/>
  <c r="AA134" i="1" s="1"/>
  <c r="Y135" i="1"/>
  <c r="Z135" i="1" s="1"/>
  <c r="AA135" i="1" s="1"/>
  <c r="Y136" i="1"/>
  <c r="Z136" i="1" s="1"/>
  <c r="AA136" i="1" s="1"/>
  <c r="Y137" i="1"/>
  <c r="Z137" i="1" s="1"/>
  <c r="AA137" i="1" s="1"/>
  <c r="Y138" i="1"/>
  <c r="Z138" i="1" s="1"/>
  <c r="AA138" i="1" s="1"/>
  <c r="Y139" i="1"/>
  <c r="Z139" i="1" s="1"/>
  <c r="AA139" i="1" s="1"/>
  <c r="Y140" i="1"/>
  <c r="Z140" i="1" s="1"/>
  <c r="AA140" i="1" s="1"/>
  <c r="Y141" i="1"/>
  <c r="Z141" i="1" s="1"/>
  <c r="AA141" i="1" s="1"/>
  <c r="Y142" i="1"/>
  <c r="Z142" i="1" s="1"/>
  <c r="AA142" i="1" s="1"/>
  <c r="Y143" i="1"/>
  <c r="Z143" i="1" s="1"/>
  <c r="AA143" i="1" s="1"/>
  <c r="Y144" i="1"/>
  <c r="Z144" i="1" s="1"/>
  <c r="AA144" i="1" s="1"/>
  <c r="Y145" i="1"/>
  <c r="Z145" i="1" s="1"/>
  <c r="AA145" i="1" s="1"/>
  <c r="Y146" i="1"/>
  <c r="Z146" i="1" s="1"/>
  <c r="AA146" i="1" s="1"/>
  <c r="Y147" i="1"/>
  <c r="Z147" i="1" s="1"/>
  <c r="AA147" i="1" s="1"/>
  <c r="Y148" i="1"/>
  <c r="Z148" i="1" s="1"/>
  <c r="AA148" i="1" s="1"/>
  <c r="Y149" i="1"/>
  <c r="Z149" i="1" s="1"/>
  <c r="AA149" i="1" s="1"/>
  <c r="J28" i="1"/>
  <c r="J29" i="1"/>
  <c r="J30" i="1"/>
  <c r="P153" i="1" l="1"/>
  <c r="P152" i="1"/>
  <c r="P151" i="1"/>
  <c r="P150" i="1"/>
  <c r="T153" i="1"/>
  <c r="T152" i="1"/>
  <c r="T151" i="1"/>
  <c r="T150" i="1"/>
  <c r="W154" i="1"/>
  <c r="W153" i="1"/>
  <c r="W152" i="1"/>
  <c r="W151" i="1"/>
  <c r="W150" i="1"/>
  <c r="G154" i="1"/>
  <c r="G153" i="1"/>
  <c r="G152" i="1"/>
  <c r="G151" i="1"/>
  <c r="G150" i="1"/>
  <c r="X150" i="1" l="1"/>
  <c r="Y151" i="1"/>
  <c r="Y153" i="1"/>
  <c r="Y150" i="1"/>
  <c r="Y154" i="1"/>
  <c r="X152" i="1"/>
  <c r="Y152" i="1"/>
  <c r="X151" i="1"/>
  <c r="X153" i="1"/>
  <c r="J84" i="1" l="1"/>
  <c r="J78" i="1"/>
  <c r="J98" i="1"/>
  <c r="J95" i="1"/>
  <c r="J89" i="1"/>
  <c r="J90" i="1"/>
  <c r="J91" i="1"/>
  <c r="J135" i="1"/>
  <c r="J134" i="1"/>
  <c r="J115" i="1"/>
  <c r="J53" i="1" l="1"/>
  <c r="J52" i="1"/>
  <c r="J51" i="1"/>
  <c r="J50" i="1"/>
  <c r="J66" i="1"/>
  <c r="J65" i="1"/>
  <c r="J64" i="1"/>
  <c r="J57" i="1"/>
  <c r="J56" i="1"/>
  <c r="J54" i="1"/>
  <c r="J55" i="1"/>
  <c r="J148" i="1" l="1"/>
  <c r="J21" i="1" l="1"/>
  <c r="J22" i="1"/>
  <c r="J20" i="1"/>
  <c r="J26" i="1" l="1"/>
  <c r="J27" i="1"/>
  <c r="J36" i="1"/>
  <c r="J37" i="1"/>
  <c r="J38" i="1"/>
  <c r="J39" i="1"/>
  <c r="J31" i="1"/>
  <c r="J32" i="1"/>
  <c r="J33" i="1"/>
  <c r="J34" i="1"/>
  <c r="J35" i="1"/>
  <c r="J42" i="1"/>
  <c r="J43" i="1"/>
  <c r="J44" i="1"/>
  <c r="J45" i="1"/>
  <c r="J46" i="1"/>
  <c r="J47" i="1"/>
  <c r="J58" i="1"/>
  <c r="J59" i="1"/>
  <c r="J61" i="1"/>
  <c r="J149" i="1" l="1"/>
  <c r="A5" i="3"/>
  <c r="A6" i="3"/>
  <c r="A7" i="3"/>
  <c r="A4" i="3"/>
  <c r="A8" i="3"/>
  <c r="O151" i="1"/>
  <c r="S152" i="1"/>
  <c r="R152" i="1"/>
  <c r="S153" i="1"/>
  <c r="S150" i="1"/>
  <c r="R153" i="1"/>
  <c r="R150" i="1"/>
  <c r="S151" i="1"/>
  <c r="R151" i="1"/>
  <c r="E154" i="1"/>
  <c r="E153" i="1"/>
  <c r="E152" i="1"/>
  <c r="E151" i="1"/>
  <c r="E150" i="1"/>
  <c r="J114" i="1" l="1"/>
  <c r="J23" i="1"/>
  <c r="J7" i="1" l="1"/>
  <c r="H151" i="1" l="1"/>
  <c r="A162" i="1" l="1"/>
  <c r="O150" i="1"/>
  <c r="J133" i="1"/>
  <c r="J24" i="1"/>
  <c r="O153" i="1"/>
  <c r="I152" i="1"/>
  <c r="I153" i="1"/>
  <c r="I151" i="1"/>
  <c r="I150" i="1"/>
  <c r="I154" i="1"/>
  <c r="J25" i="1"/>
  <c r="O152" i="1" l="1"/>
  <c r="Z153" i="1" l="1"/>
  <c r="Z152" i="1"/>
  <c r="Z151" i="1"/>
  <c r="Z150" i="1"/>
  <c r="J109" i="1"/>
  <c r="J113" i="1"/>
  <c r="J111" i="1"/>
  <c r="J110" i="1"/>
  <c r="H154" i="1" l="1"/>
  <c r="H153" i="1"/>
  <c r="H152" i="1"/>
  <c r="H150" i="1"/>
  <c r="J63" i="1" l="1"/>
  <c r="J6" i="1" l="1"/>
  <c r="N153" i="1" l="1"/>
  <c r="N152" i="1"/>
  <c r="N151" i="1"/>
  <c r="N150" i="1"/>
  <c r="M153" i="1"/>
  <c r="M152" i="1"/>
  <c r="M151" i="1"/>
  <c r="M150" i="1"/>
  <c r="L153" i="1"/>
  <c r="L152" i="1"/>
  <c r="L151" i="1"/>
  <c r="L150" i="1"/>
  <c r="K153" i="1"/>
  <c r="K152" i="1"/>
  <c r="K151" i="1"/>
  <c r="K150" i="1"/>
  <c r="F154" i="1"/>
  <c r="F153" i="1"/>
  <c r="F152" i="1"/>
  <c r="F151" i="1"/>
  <c r="F150" i="1"/>
  <c r="A159" i="1"/>
  <c r="K154" i="1"/>
  <c r="M154" i="1"/>
  <c r="N154" i="1"/>
  <c r="O154" i="1"/>
  <c r="D166" i="1"/>
  <c r="D165" i="1" s="1"/>
  <c r="U101" i="1"/>
  <c r="V101" i="1" s="1"/>
  <c r="AB101" i="1" s="1"/>
  <c r="U40" i="1" l="1"/>
  <c r="V40" i="1" s="1"/>
  <c r="AB40" i="1" s="1"/>
  <c r="U105" i="1"/>
  <c r="V105" i="1" s="1"/>
  <c r="AB105" i="1" s="1"/>
  <c r="U100" i="1"/>
  <c r="V100" i="1" s="1"/>
  <c r="AB100" i="1" s="1"/>
  <c r="U60" i="1"/>
  <c r="V60" i="1" s="1"/>
  <c r="AB60" i="1" s="1"/>
  <c r="U11" i="1"/>
  <c r="V11" i="1" s="1"/>
  <c r="AB11" i="1" s="1"/>
  <c r="U12" i="1"/>
  <c r="V12" i="1" s="1"/>
  <c r="AB12" i="1" s="1"/>
  <c r="U49" i="1"/>
  <c r="V49" i="1" s="1"/>
  <c r="AB49" i="1" s="1"/>
  <c r="U13" i="1"/>
  <c r="V13" i="1" s="1"/>
  <c r="AB13" i="1" s="1"/>
  <c r="U68" i="1"/>
  <c r="V68" i="1" s="1"/>
  <c r="AB68" i="1" s="1"/>
  <c r="U67" i="1"/>
  <c r="V67" i="1" s="1"/>
  <c r="AB67" i="1" s="1"/>
  <c r="U19" i="1"/>
  <c r="V19" i="1" s="1"/>
  <c r="AB19" i="1" s="1"/>
  <c r="U121" i="1"/>
  <c r="V121" i="1" s="1"/>
  <c r="AB121" i="1" s="1"/>
  <c r="U120" i="1"/>
  <c r="V120" i="1" s="1"/>
  <c r="AB120" i="1" s="1"/>
  <c r="U41" i="1"/>
  <c r="V41" i="1" s="1"/>
  <c r="AB41" i="1" s="1"/>
  <c r="U96" i="1"/>
  <c r="V96" i="1" s="1"/>
  <c r="AB96" i="1" s="1"/>
  <c r="U48" i="1"/>
  <c r="V48" i="1" s="1"/>
  <c r="AB48" i="1" s="1"/>
  <c r="U93" i="1"/>
  <c r="V93" i="1" s="1"/>
  <c r="AB93" i="1" s="1"/>
  <c r="U92" i="1"/>
  <c r="V92" i="1" s="1"/>
  <c r="AB92" i="1" s="1"/>
  <c r="U94" i="1"/>
  <c r="V94" i="1" s="1"/>
  <c r="AB94" i="1" s="1"/>
  <c r="U97" i="1"/>
  <c r="V97" i="1" s="1"/>
  <c r="AB97" i="1" s="1"/>
  <c r="U88" i="1"/>
  <c r="V88" i="1" s="1"/>
  <c r="AB88" i="1" s="1"/>
  <c r="U86" i="1"/>
  <c r="V86" i="1" s="1"/>
  <c r="AB86" i="1" s="1"/>
  <c r="U87" i="1"/>
  <c r="V87" i="1" s="1"/>
  <c r="AB87" i="1" s="1"/>
  <c r="U54" i="1"/>
  <c r="V54" i="1" s="1"/>
  <c r="AB54" i="1" s="1"/>
  <c r="U55" i="1"/>
  <c r="V55" i="1" s="1"/>
  <c r="AB55" i="1" s="1"/>
  <c r="U47" i="1"/>
  <c r="V47" i="1" s="1"/>
  <c r="AB47" i="1" s="1"/>
  <c r="U10" i="1"/>
  <c r="V10" i="1" s="1"/>
  <c r="AB10" i="1" s="1"/>
  <c r="U9" i="1"/>
  <c r="V9" i="1" s="1"/>
  <c r="AB9" i="1" s="1"/>
  <c r="U122" i="1"/>
  <c r="V122" i="1" s="1"/>
  <c r="AB122" i="1" s="1"/>
  <c r="U30" i="1"/>
  <c r="V30" i="1" s="1"/>
  <c r="AB30" i="1" s="1"/>
  <c r="U29" i="1"/>
  <c r="V29" i="1" s="1"/>
  <c r="AB29" i="1" s="1"/>
  <c r="U28" i="1"/>
  <c r="V28" i="1" s="1"/>
  <c r="AB28" i="1" s="1"/>
  <c r="U106" i="1"/>
  <c r="V106" i="1" s="1"/>
  <c r="AB106" i="1" s="1"/>
  <c r="U109" i="1"/>
  <c r="V109" i="1" s="1"/>
  <c r="AB109" i="1" s="1"/>
  <c r="U107" i="1"/>
  <c r="V107" i="1" s="1"/>
  <c r="AB107" i="1" s="1"/>
  <c r="U110" i="1"/>
  <c r="V110" i="1" s="1"/>
  <c r="AB110" i="1" s="1"/>
  <c r="U111" i="1"/>
  <c r="V111" i="1" s="1"/>
  <c r="AB111" i="1" s="1"/>
  <c r="U113" i="1"/>
  <c r="V113" i="1" s="1"/>
  <c r="AB113" i="1" s="1"/>
  <c r="U108" i="1"/>
  <c r="V108" i="1" s="1"/>
  <c r="AB108" i="1" s="1"/>
  <c r="U95" i="1"/>
  <c r="V95" i="1" s="1"/>
  <c r="AB95" i="1" s="1"/>
  <c r="U7" i="1"/>
  <c r="U8" i="1"/>
  <c r="V8" i="1" s="1"/>
  <c r="AB8" i="1" s="1"/>
  <c r="U78" i="1"/>
  <c r="V78" i="1" s="1"/>
  <c r="AB78" i="1" s="1"/>
  <c r="U84" i="1"/>
  <c r="V84" i="1" s="1"/>
  <c r="AB84" i="1" s="1"/>
  <c r="U90" i="1"/>
  <c r="V90" i="1" s="1"/>
  <c r="AB90" i="1" s="1"/>
  <c r="V98" i="1"/>
  <c r="AB98" i="1" s="1"/>
  <c r="U91" i="1"/>
  <c r="V91" i="1" s="1"/>
  <c r="AB91" i="1" s="1"/>
  <c r="U89" i="1"/>
  <c r="V89" i="1" s="1"/>
  <c r="AB89" i="1" s="1"/>
  <c r="U134" i="1"/>
  <c r="V134" i="1" s="1"/>
  <c r="AB134" i="1" s="1"/>
  <c r="U135" i="1"/>
  <c r="V135" i="1" s="1"/>
  <c r="AB135" i="1" s="1"/>
  <c r="U53" i="1"/>
  <c r="V53" i="1" s="1"/>
  <c r="AB53" i="1" s="1"/>
  <c r="U115" i="1"/>
  <c r="V115" i="1" s="1"/>
  <c r="AB115" i="1" s="1"/>
  <c r="U52" i="1"/>
  <c r="V52" i="1" s="1"/>
  <c r="AB52" i="1" s="1"/>
  <c r="U51" i="1"/>
  <c r="V51" i="1" s="1"/>
  <c r="AB51" i="1" s="1"/>
  <c r="U50" i="1"/>
  <c r="V50" i="1" s="1"/>
  <c r="AB50" i="1" s="1"/>
  <c r="U66" i="1"/>
  <c r="V66" i="1" s="1"/>
  <c r="AB66" i="1" s="1"/>
  <c r="U64" i="1"/>
  <c r="V64" i="1" s="1"/>
  <c r="AB64" i="1" s="1"/>
  <c r="U65" i="1"/>
  <c r="V65" i="1" s="1"/>
  <c r="AB65" i="1" s="1"/>
  <c r="U57" i="1"/>
  <c r="V57" i="1" s="1"/>
  <c r="AB57" i="1" s="1"/>
  <c r="U56" i="1"/>
  <c r="V56" i="1" s="1"/>
  <c r="AB56" i="1" s="1"/>
  <c r="U148" i="1"/>
  <c r="V148" i="1" s="1"/>
  <c r="AB148" i="1" s="1"/>
  <c r="U21" i="1"/>
  <c r="V21" i="1" s="1"/>
  <c r="AB21" i="1" s="1"/>
  <c r="U20" i="1"/>
  <c r="V20" i="1" s="1"/>
  <c r="AB20" i="1" s="1"/>
  <c r="U22" i="1"/>
  <c r="V22" i="1" s="1"/>
  <c r="AB22" i="1" s="1"/>
  <c r="U26" i="1"/>
  <c r="V26" i="1" s="1"/>
  <c r="AB26" i="1" s="1"/>
  <c r="U31" i="1"/>
  <c r="V31" i="1" s="1"/>
  <c r="AB31" i="1" s="1"/>
  <c r="U32" i="1"/>
  <c r="V32" i="1" s="1"/>
  <c r="AB32" i="1" s="1"/>
  <c r="U33" i="1"/>
  <c r="V33" i="1" s="1"/>
  <c r="AB33" i="1" s="1"/>
  <c r="U35" i="1"/>
  <c r="V35" i="1" s="1"/>
  <c r="AB35" i="1" s="1"/>
  <c r="U42" i="1"/>
  <c r="V42" i="1" s="1"/>
  <c r="AB42" i="1" s="1"/>
  <c r="U44" i="1"/>
  <c r="V44" i="1" s="1"/>
  <c r="AB44" i="1" s="1"/>
  <c r="U45" i="1"/>
  <c r="V45" i="1" s="1"/>
  <c r="AB45" i="1" s="1"/>
  <c r="U46" i="1"/>
  <c r="V46" i="1" s="1"/>
  <c r="AB46" i="1" s="1"/>
  <c r="U61" i="1"/>
  <c r="V61" i="1" s="1"/>
  <c r="AB61" i="1" s="1"/>
  <c r="U34" i="1"/>
  <c r="V34" i="1" s="1"/>
  <c r="AB34" i="1" s="1"/>
  <c r="U58" i="1"/>
  <c r="V58" i="1" s="1"/>
  <c r="AB58" i="1" s="1"/>
  <c r="U38" i="1"/>
  <c r="V38" i="1" s="1"/>
  <c r="AB38" i="1" s="1"/>
  <c r="U27" i="1"/>
  <c r="V27" i="1" s="1"/>
  <c r="AB27" i="1" s="1"/>
  <c r="U36" i="1"/>
  <c r="V36" i="1" s="1"/>
  <c r="AB36" i="1" s="1"/>
  <c r="U37" i="1"/>
  <c r="V37" i="1" s="1"/>
  <c r="AB37" i="1" s="1"/>
  <c r="U43" i="1"/>
  <c r="V43" i="1" s="1"/>
  <c r="AB43" i="1" s="1"/>
  <c r="U39" i="1"/>
  <c r="V39" i="1" s="1"/>
  <c r="AB39" i="1" s="1"/>
  <c r="U59" i="1"/>
  <c r="V59" i="1" s="1"/>
  <c r="AB59" i="1" s="1"/>
  <c r="U149" i="1"/>
  <c r="V149" i="1" s="1"/>
  <c r="AB149" i="1" s="1"/>
  <c r="U114" i="1"/>
  <c r="V114" i="1" s="1"/>
  <c r="AB114" i="1" s="1"/>
  <c r="U23" i="1"/>
  <c r="V23" i="1" s="1"/>
  <c r="AB23" i="1" s="1"/>
  <c r="U24" i="1"/>
  <c r="V24" i="1" s="1"/>
  <c r="AB24" i="1" s="1"/>
  <c r="U133" i="1"/>
  <c r="V133" i="1" s="1"/>
  <c r="AB133" i="1" s="1"/>
  <c r="U25" i="1"/>
  <c r="V25" i="1" s="1"/>
  <c r="AB25" i="1" s="1"/>
  <c r="U63" i="1"/>
  <c r="V63" i="1" s="1"/>
  <c r="AB63" i="1" s="1"/>
  <c r="P154" i="1"/>
  <c r="U123" i="1"/>
  <c r="V123" i="1" s="1"/>
  <c r="AB123" i="1" s="1"/>
  <c r="U124" i="1"/>
  <c r="V124" i="1" s="1"/>
  <c r="AB124" i="1" s="1"/>
  <c r="U143" i="1"/>
  <c r="V143" i="1" s="1"/>
  <c r="AB143" i="1" s="1"/>
  <c r="U125" i="1"/>
  <c r="V125" i="1" s="1"/>
  <c r="AB125" i="1" s="1"/>
  <c r="U126" i="1"/>
  <c r="V126" i="1" s="1"/>
  <c r="AB126" i="1" s="1"/>
  <c r="J143" i="1"/>
  <c r="V7" i="1" l="1"/>
  <c r="AB7" i="1" s="1"/>
  <c r="J106" i="1"/>
  <c r="J107" i="1"/>
  <c r="J108" i="1"/>
  <c r="L154" i="1" l="1"/>
  <c r="U14" i="1" l="1"/>
  <c r="U142" i="1"/>
  <c r="V142" i="1" s="1"/>
  <c r="AB142" i="1" s="1"/>
  <c r="U138" i="1"/>
  <c r="V138" i="1" s="1"/>
  <c r="AB138" i="1" s="1"/>
  <c r="U131" i="1"/>
  <c r="V131" i="1" s="1"/>
  <c r="AB131" i="1" s="1"/>
  <c r="U127" i="1"/>
  <c r="V127" i="1" s="1"/>
  <c r="AB127" i="1" s="1"/>
  <c r="U118" i="1"/>
  <c r="V118" i="1" s="1"/>
  <c r="AB118" i="1" s="1"/>
  <c r="U103" i="1"/>
  <c r="V103" i="1" s="1"/>
  <c r="AB103" i="1" s="1"/>
  <c r="U82" i="1"/>
  <c r="V82" i="1" s="1"/>
  <c r="AB82" i="1" s="1"/>
  <c r="U77" i="1"/>
  <c r="V77" i="1" s="1"/>
  <c r="AB77" i="1" s="1"/>
  <c r="U73" i="1"/>
  <c r="V73" i="1" s="1"/>
  <c r="AB73" i="1" s="1"/>
  <c r="U18" i="1"/>
  <c r="V18" i="1" s="1"/>
  <c r="AB18" i="1" s="1"/>
  <c r="U147" i="1"/>
  <c r="V147" i="1" s="1"/>
  <c r="AB147" i="1" s="1"/>
  <c r="U144" i="1"/>
  <c r="V144" i="1" s="1"/>
  <c r="AB144" i="1" s="1"/>
  <c r="U139" i="1"/>
  <c r="V139" i="1" s="1"/>
  <c r="AB139" i="1" s="1"/>
  <c r="U132" i="1"/>
  <c r="V132" i="1" s="1"/>
  <c r="AB132" i="1" s="1"/>
  <c r="U128" i="1"/>
  <c r="V128" i="1" s="1"/>
  <c r="AB128" i="1" s="1"/>
  <c r="U83" i="1"/>
  <c r="V83" i="1" s="1"/>
  <c r="AB83" i="1" s="1"/>
  <c r="U74" i="1"/>
  <c r="V74" i="1" s="1"/>
  <c r="AB74" i="1" s="1"/>
  <c r="U146" i="1"/>
  <c r="V146" i="1" s="1"/>
  <c r="AB146" i="1" s="1"/>
  <c r="U141" i="1"/>
  <c r="V141" i="1" s="1"/>
  <c r="AB141" i="1" s="1"/>
  <c r="U137" i="1"/>
  <c r="V137" i="1" s="1"/>
  <c r="AB137" i="1" s="1"/>
  <c r="U130" i="1"/>
  <c r="V130" i="1" s="1"/>
  <c r="AB130" i="1" s="1"/>
  <c r="U117" i="1"/>
  <c r="V117" i="1" s="1"/>
  <c r="AB117" i="1" s="1"/>
  <c r="U102" i="1"/>
  <c r="V102" i="1" s="1"/>
  <c r="AB102" i="1" s="1"/>
  <c r="U81" i="1"/>
  <c r="V81" i="1" s="1"/>
  <c r="AB81" i="1" s="1"/>
  <c r="U76" i="1"/>
  <c r="V76" i="1" s="1"/>
  <c r="AB76" i="1" s="1"/>
  <c r="U72" i="1"/>
  <c r="V72" i="1" s="1"/>
  <c r="AB72" i="1" s="1"/>
  <c r="U70" i="1"/>
  <c r="V70" i="1" s="1"/>
  <c r="AB70" i="1" s="1"/>
  <c r="U62" i="1"/>
  <c r="V62" i="1" s="1"/>
  <c r="AB62" i="1" s="1"/>
  <c r="U17" i="1"/>
  <c r="V17" i="1" s="1"/>
  <c r="AB17" i="1" s="1"/>
  <c r="U104" i="1"/>
  <c r="V104" i="1" s="1"/>
  <c r="AB104" i="1" s="1"/>
  <c r="U79" i="1"/>
  <c r="V79" i="1" s="1"/>
  <c r="AB79" i="1" s="1"/>
  <c r="U15" i="1"/>
  <c r="V15" i="1" s="1"/>
  <c r="AB15" i="1" s="1"/>
  <c r="U145" i="1"/>
  <c r="V145" i="1" s="1"/>
  <c r="AB145" i="1" s="1"/>
  <c r="U140" i="1"/>
  <c r="V140" i="1" s="1"/>
  <c r="AB140" i="1" s="1"/>
  <c r="U136" i="1"/>
  <c r="V136" i="1" s="1"/>
  <c r="AB136" i="1" s="1"/>
  <c r="U129" i="1"/>
  <c r="V129" i="1" s="1"/>
  <c r="AB129" i="1" s="1"/>
  <c r="U119" i="1"/>
  <c r="V119" i="1" s="1"/>
  <c r="AB119" i="1" s="1"/>
  <c r="U116" i="1"/>
  <c r="V116" i="1" s="1"/>
  <c r="AB116" i="1" s="1"/>
  <c r="U85" i="1"/>
  <c r="V85" i="1" s="1"/>
  <c r="AB85" i="1" s="1"/>
  <c r="U80" i="1"/>
  <c r="V80" i="1" s="1"/>
  <c r="AB80" i="1" s="1"/>
  <c r="U75" i="1"/>
  <c r="V75" i="1" s="1"/>
  <c r="AB75" i="1" s="1"/>
  <c r="U71" i="1"/>
  <c r="V71" i="1" s="1"/>
  <c r="AB71" i="1" s="1"/>
  <c r="U69" i="1"/>
  <c r="V69" i="1" s="1"/>
  <c r="AB69" i="1" s="1"/>
  <c r="U16" i="1"/>
  <c r="V16" i="1" s="1"/>
  <c r="AB16" i="1" s="1"/>
  <c r="U150" i="1" l="1"/>
  <c r="U151" i="1"/>
  <c r="U153" i="1"/>
  <c r="U152" i="1"/>
  <c r="V14" i="1"/>
  <c r="AB14" i="1" s="1"/>
  <c r="U154" i="1"/>
  <c r="V154" i="1" l="1"/>
  <c r="V153" i="1"/>
  <c r="V151" i="1"/>
  <c r="V150" i="1"/>
  <c r="V152" i="1"/>
  <c r="S154" i="1"/>
  <c r="J3" i="1"/>
  <c r="J4" i="1"/>
  <c r="J5" i="1"/>
  <c r="J8" i="1"/>
  <c r="J14" i="1"/>
  <c r="J15" i="1"/>
  <c r="J16" i="1"/>
  <c r="J17" i="1"/>
  <c r="J18" i="1"/>
  <c r="J62" i="1"/>
  <c r="J69" i="1"/>
  <c r="J70" i="1"/>
  <c r="J71" i="1"/>
  <c r="J72" i="1"/>
  <c r="J73" i="1"/>
  <c r="J74" i="1"/>
  <c r="J75" i="1"/>
  <c r="J76" i="1"/>
  <c r="J77" i="1"/>
  <c r="J79" i="1"/>
  <c r="J80" i="1"/>
  <c r="J81" i="1"/>
  <c r="J82" i="1"/>
  <c r="J83" i="1"/>
  <c r="J85" i="1"/>
  <c r="J102" i="1"/>
  <c r="J103" i="1"/>
  <c r="J104" i="1"/>
  <c r="J116" i="1"/>
  <c r="J117" i="1"/>
  <c r="J118" i="1"/>
  <c r="J119" i="1"/>
  <c r="J122" i="1"/>
  <c r="J123" i="1"/>
  <c r="J124" i="1"/>
  <c r="J125" i="1"/>
  <c r="J126" i="1"/>
  <c r="J127" i="1"/>
  <c r="J128" i="1"/>
  <c r="J129" i="1"/>
  <c r="J130" i="1"/>
  <c r="J131" i="1"/>
  <c r="J132" i="1"/>
  <c r="J136" i="1"/>
  <c r="J137" i="1"/>
  <c r="J138" i="1"/>
  <c r="J139" i="1"/>
  <c r="J140" i="1"/>
  <c r="J141" i="1"/>
  <c r="J142" i="1"/>
  <c r="J144" i="1"/>
  <c r="J145" i="1"/>
  <c r="J146" i="1"/>
  <c r="J147" i="1"/>
  <c r="J153" i="1" l="1"/>
  <c r="J150" i="1"/>
  <c r="J154" i="1"/>
  <c r="J151" i="1"/>
  <c r="J152" i="1"/>
  <c r="T154" i="1"/>
  <c r="R154" i="1" l="1"/>
  <c r="Q151" i="1" l="1"/>
  <c r="Q152" i="1"/>
  <c r="Q150" i="1"/>
  <c r="Q153" i="1"/>
  <c r="Q154" i="1"/>
  <c r="X154" i="1" l="1"/>
  <c r="Z154" i="1"/>
  <c r="AB150" i="1" l="1"/>
  <c r="AB151" i="1"/>
  <c r="AB154" i="1"/>
  <c r="AB152" i="1"/>
  <c r="AB153" i="1"/>
  <c r="AA154" i="1"/>
  <c r="AA153" i="1"/>
  <c r="AA150" i="1"/>
  <c r="AA152" i="1"/>
  <c r="AA15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Y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6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37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38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39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40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O41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Seagate uses Annualized Failured Rate, rather than MTBF.  Drive is rated at &lt;1% in five years.
</t>
        </r>
      </text>
    </comment>
    <comment ref="D159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0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61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<sst xmlns="http://schemas.openxmlformats.org/spreadsheetml/2006/main" count="635" uniqueCount="158">
  <si>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</si>
  <si>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</si>
  <si>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</si>
  <si>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</si>
  <si>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</si>
  <si>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</si>
  <si>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</si>
  <si>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</si>
  <si>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</si>
  <si>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</si>
  <si>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</si>
  <si>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</si>
  <si>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</si>
  <si>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</si>
  <si>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</si>
  <si>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</si>
  <si>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</si>
  <si>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</si>
  <si>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</si>
  <si>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</si>
  <si>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$ TB/year</t>
  </si>
  <si>
    <t>Energy$year</t>
  </si>
  <si>
    <t>MEDIAN</t>
  </si>
  <si>
    <t>MIN</t>
  </si>
  <si>
    <t>MAX</t>
  </si>
  <si>
    <t>Warnty</t>
  </si>
  <si>
    <t>SizTB</t>
  </si>
  <si>
    <t>Blue</t>
  </si>
  <si>
    <t>Active Duty Cycle</t>
  </si>
  <si>
    <t>Power On Hours Year</t>
  </si>
  <si>
    <t>WattsStandby</t>
  </si>
  <si>
    <t>Comp $/Perf/Size</t>
  </si>
  <si>
    <t>$+Warr</t>
  </si>
  <si>
    <t>CompareWarrYrs</t>
  </si>
  <si>
    <t>AVG</t>
  </si>
  <si>
    <t>MaxStartupWatts</t>
  </si>
  <si>
    <t>Warranty_Normalized_Computed</t>
  </si>
  <si>
    <t>Helium filled</t>
  </si>
  <si>
    <t>COUNT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</si>
  <si>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</si>
  <si>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</si>
  <si>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</si>
  <si>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</si>
  <si>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</si>
  <si>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</si>
  <si>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Incremental$Warr/Yr</t>
  </si>
  <si>
    <t>Energy$yearPerTB</t>
  </si>
  <si>
    <t>$PerTB</t>
  </si>
  <si>
    <t>Type</t>
  </si>
  <si>
    <t>NAS</t>
  </si>
  <si>
    <t>Days In Month</t>
  </si>
  <si>
    <t>Hours In Day</t>
  </si>
  <si>
    <t>Months In Year</t>
  </si>
  <si>
    <t>Hours In Month</t>
  </si>
  <si>
    <t>P300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</si>
  <si>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</si>
  <si>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</si>
  <si>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</si>
  <si>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</si>
  <si>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</si>
  <si>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</si>
  <si>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</si>
  <si>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</si>
  <si>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PerfCmp</t>
  </si>
  <si>
    <t>AvgLatency</t>
  </si>
  <si>
    <t>X300</t>
  </si>
  <si>
    <t>SeekT</t>
  </si>
  <si>
    <t>PERFORMANCE</t>
  </si>
  <si>
    <t>Oldest Update</t>
  </si>
  <si>
    <t>POWER USAGE</t>
  </si>
  <si>
    <t>&gt;100</t>
  </si>
  <si>
    <t>Avg</t>
  </si>
  <si>
    <t>Min</t>
  </si>
  <si>
    <t>Max</t>
  </si>
  <si>
    <t>Qty</t>
  </si>
  <si>
    <t>Mean</t>
  </si>
  <si>
    <t xml:space="preserve"> </t>
  </si>
  <si>
    <t>Row Labels</t>
  </si>
  <si>
    <t>owned by WD</t>
  </si>
  <si>
    <t>Ae</t>
  </si>
  <si>
    <t>Average of $ TB/year</t>
  </si>
  <si>
    <t>Avg By Size</t>
  </si>
  <si>
    <t>NAS Drives Avg Cost By Size Per Year</t>
  </si>
  <si>
    <t>Cost per TB per year</t>
  </si>
  <si>
    <t>Average</t>
  </si>
  <si>
    <t>FormFactor</t>
  </si>
  <si>
    <t>Ultrastar C10K1800</t>
  </si>
  <si>
    <t>Ultrastar C15K600</t>
  </si>
  <si>
    <t>SPECIFICATIONS</t>
  </si>
  <si>
    <t>Avg Energy Cost by Size per TB per Year</t>
  </si>
  <si>
    <t>Average of Energy$year</t>
  </si>
  <si>
    <t>Avg Energy Cost by Size per Year</t>
  </si>
  <si>
    <t>Grand Total</t>
  </si>
  <si>
    <t>Average of $PerTB</t>
  </si>
  <si>
    <t xml:space="preserve">3.5" NAS Drives Avg Cost by RPM by Manu
</t>
  </si>
  <si>
    <t>16GiB NAND</t>
  </si>
  <si>
    <t>Helium filled, Shingled (SMR)</t>
  </si>
  <si>
    <t>Ultrastar C10K1200</t>
  </si>
  <si>
    <r>
      <t>Ultrastar Hs</t>
    </r>
    <r>
      <rPr>
        <u/>
        <vertAlign val="superscript"/>
        <sz val="11"/>
        <color theme="10"/>
        <rFont val="Calibri"/>
        <family val="2"/>
        <scheme val="minor"/>
      </rPr>
      <t>14</t>
    </r>
  </si>
  <si>
    <t>`</t>
  </si>
  <si>
    <t>Average of MaxStartupWatts</t>
  </si>
  <si>
    <t>(Multiple Items)</t>
  </si>
  <si>
    <t>Exos 7E8</t>
  </si>
  <si>
    <t>Exos 10E2400</t>
  </si>
  <si>
    <t>Exos 15E900</t>
  </si>
  <si>
    <t>Exos 7E2</t>
  </si>
  <si>
    <t>Exos 5E8</t>
  </si>
  <si>
    <t>Exos 7E2000</t>
  </si>
  <si>
    <t>Exos X12</t>
  </si>
  <si>
    <t>Exos X10</t>
  </si>
  <si>
    <t>SMR</t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</si>
  <si>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12</t>
    </r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</si>
  <si>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10</t>
    </r>
  </si>
  <si>
    <t>Enterprise Performance</t>
  </si>
  <si>
    <t>Enterprise Capacity</t>
  </si>
  <si>
    <t>DURABILITY</t>
  </si>
  <si>
    <t>Media caching</t>
  </si>
  <si>
    <t>These are incomplete at this time…</t>
  </si>
  <si>
    <t>(All)</t>
  </si>
  <si>
    <t>Ultrastar Archive Ha10</t>
  </si>
  <si>
    <t>Ultrastar He6</t>
  </si>
  <si>
    <t>Shingled (SMR)</t>
  </si>
  <si>
    <t>Helium filled, Media caching</t>
  </si>
  <si>
    <t>32GB NAND, Media caching</t>
  </si>
  <si>
    <t>Enterprise HGST drives are now</t>
  </si>
  <si>
    <t>Exchange Rate</t>
  </si>
  <si>
    <t>LT</t>
  </si>
  <si>
    <t>DT</t>
  </si>
  <si>
    <t>Desktop</t>
  </si>
  <si>
    <t>Laptop</t>
  </si>
  <si>
    <t>Network Attached Storage</t>
  </si>
  <si>
    <t>Shingled Magnetic Recording</t>
  </si>
  <si>
    <t>Description</t>
  </si>
  <si>
    <t>ACTUAL COST</t>
  </si>
  <si>
    <t>Archive</t>
  </si>
  <si>
    <t>Ultrastar 7K6000</t>
  </si>
  <si>
    <t>Ultrastar 7K2000</t>
  </si>
  <si>
    <t>Travelstar 5K1000</t>
  </si>
  <si>
    <t>Travelstar 7K1000</t>
  </si>
  <si>
    <t>600000+M11</t>
  </si>
  <si>
    <t>Types</t>
  </si>
  <si>
    <t>DT01ACA</t>
  </si>
  <si>
    <t>Persistant Write Cache</t>
  </si>
  <si>
    <t>Helium Filled</t>
  </si>
  <si>
    <t>DBA_Idle</t>
  </si>
  <si>
    <t>DBA_Seek</t>
  </si>
  <si>
    <t>Ultrastar 7K4000</t>
  </si>
  <si>
    <t>Constellation ES.3</t>
  </si>
  <si>
    <t>Ultrastar C10K900</t>
  </si>
  <si>
    <t>L200</t>
  </si>
  <si>
    <t>1 dB = .1 B (bel 10:1)</t>
  </si>
  <si>
    <t>Ultrastar He8</t>
  </si>
  <si>
    <t>Newest Update</t>
  </si>
  <si>
    <t>DB vs. bel</t>
  </si>
  <si>
    <t>ACOUSTICS*</t>
  </si>
  <si>
    <t>HDKFB06</t>
  </si>
  <si>
    <t>Warranty</t>
  </si>
  <si>
    <t>$TB/Yr+Power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</si>
</sst>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  <numFmt numFmtId="169" formatCode="&quot;$&quot;#,##0.000"/>
    <numFmt numFmtId="170" formatCode="&quot;$&quot;#,##0.0000"/>
    <numFmt numFmtId="171" formatCode="0.0%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0209F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9623AD"/>
        <bgColor indexed="64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79998168889431442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/>
      <right style="medium">
        <color theme="1"/>
      </right>
      <top/>
      <bottom style="medium">
        <color theme="4" tint="0.79998168889431442"/>
      </bottom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29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0" fillId="0" borderId="0" xfId="0" applyNumberFormat="1" applyBorder="1" applyAlignment="1"/>
    <xf numFmtId="0" fontId="3" fillId="2" borderId="2" xfId="0" applyFont="1" applyFill="1" applyBorder="1" applyAlignment="1">
      <alignment horizontal="center"/>
    </xf>
    <xf numFmtId="0" fontId="1" fillId="4" borderId="4" xfId="0" applyFont="1" applyFill="1" applyBorder="1"/>
    <xf numFmtId="2" fontId="1" fillId="4" borderId="5" xfId="0" applyNumberFormat="1" applyFont="1" applyFill="1" applyBorder="1"/>
    <xf numFmtId="44" fontId="1" fillId="4" borderId="5" xfId="0" applyNumberFormat="1" applyFont="1" applyFill="1" applyBorder="1"/>
    <xf numFmtId="0" fontId="1" fillId="4" borderId="6" xfId="0" applyFont="1" applyFill="1" applyBorder="1"/>
    <xf numFmtId="2" fontId="1" fillId="4" borderId="7" xfId="0" applyNumberFormat="1" applyFont="1" applyFill="1" applyBorder="1"/>
    <xf numFmtId="44" fontId="1" fillId="4" borderId="7" xfId="0" applyNumberFormat="1" applyFont="1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1" fillId="2" borderId="10" xfId="0" applyFont="1" applyFill="1" applyBorder="1" applyAlignment="1">
      <alignment horizontal="center"/>
    </xf>
    <xf numFmtId="0" fontId="0" fillId="5" borderId="11" xfId="0" applyFill="1" applyBorder="1"/>
    <xf numFmtId="9" fontId="0" fillId="6" borderId="11" xfId="0" applyNumberFormat="1" applyFill="1" applyBorder="1"/>
    <xf numFmtId="0" fontId="0" fillId="6" borderId="11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1" xfId="0" applyFont="1" applyFill="1" applyBorder="1"/>
    <xf numFmtId="166" fontId="0" fillId="6" borderId="11" xfId="0" applyNumberFormat="1" applyFill="1" applyBorder="1" applyAlignment="1"/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0" fillId="2" borderId="11" xfId="0" applyFill="1" applyBorder="1"/>
    <xf numFmtId="167" fontId="0" fillId="0" borderId="0" xfId="0" applyNumberFormat="1"/>
    <xf numFmtId="3" fontId="0" fillId="0" borderId="0" xfId="0" applyNumberFormat="1"/>
    <xf numFmtId="3" fontId="1" fillId="4" borderId="5" xfId="0" applyNumberFormat="1" applyFont="1" applyFill="1" applyBorder="1"/>
    <xf numFmtId="3" fontId="1" fillId="4" borderId="7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19" xfId="0" applyBorder="1"/>
    <xf numFmtId="3" fontId="0" fillId="0" borderId="20" xfId="0" applyNumberFormat="1" applyBorder="1"/>
    <xf numFmtId="3" fontId="0" fillId="0" borderId="3" xfId="0" applyNumberFormat="1" applyBorder="1"/>
    <xf numFmtId="3" fontId="0" fillId="0" borderId="21" xfId="0" applyNumberFormat="1" applyBorder="1"/>
    <xf numFmtId="1" fontId="0" fillId="0" borderId="22" xfId="0" applyNumberFormat="1" applyBorder="1"/>
    <xf numFmtId="1" fontId="0" fillId="0" borderId="23" xfId="0" applyNumberFormat="1" applyBorder="1"/>
    <xf numFmtId="1" fontId="0" fillId="0" borderId="24" xfId="0" applyNumberFormat="1" applyBorder="1"/>
    <xf numFmtId="167" fontId="1" fillId="4" borderId="26" xfId="0" applyNumberFormat="1" applyFont="1" applyFill="1" applyBorder="1"/>
    <xf numFmtId="167" fontId="1" fillId="4" borderId="27" xfId="0" applyNumberFormat="1" applyFont="1" applyFill="1" applyBorder="1"/>
    <xf numFmtId="0" fontId="1" fillId="4" borderId="28" xfId="0" applyFont="1" applyFill="1" applyBorder="1"/>
    <xf numFmtId="2" fontId="1" fillId="4" borderId="29" xfId="0" applyNumberFormat="1" applyFont="1" applyFill="1" applyBorder="1"/>
    <xf numFmtId="2" fontId="1" fillId="4" borderId="30" xfId="0" applyNumberFormat="1" applyFont="1" applyFill="1" applyBorder="1"/>
    <xf numFmtId="0" fontId="1" fillId="4" borderId="31" xfId="0" applyFont="1" applyFill="1" applyBorder="1"/>
    <xf numFmtId="2" fontId="0" fillId="0" borderId="3" xfId="0" applyNumberFormat="1" applyBorder="1"/>
    <xf numFmtId="2" fontId="1" fillId="4" borderId="34" xfId="0" applyNumberFormat="1" applyFont="1" applyFill="1" applyBorder="1"/>
    <xf numFmtId="2" fontId="1" fillId="4" borderId="36" xfId="0" applyNumberFormat="1" applyFont="1" applyFill="1" applyBorder="1"/>
    <xf numFmtId="0" fontId="1" fillId="4" borderId="38" xfId="0" applyFont="1" applyFill="1" applyBorder="1"/>
    <xf numFmtId="2" fontId="1" fillId="4" borderId="26" xfId="0" applyNumberFormat="1" applyFont="1" applyFill="1" applyBorder="1"/>
    <xf numFmtId="2" fontId="1" fillId="4" borderId="27" xfId="0" applyNumberFormat="1" applyFont="1" applyFill="1" applyBorder="1"/>
    <xf numFmtId="0" fontId="1" fillId="2" borderId="41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9" fontId="0" fillId="0" borderId="0" xfId="0" applyNumberFormat="1" applyBorder="1"/>
    <xf numFmtId="2" fontId="1" fillId="4" borderId="35" xfId="0" applyNumberFormat="1" applyFont="1" applyFill="1" applyBorder="1"/>
    <xf numFmtId="2" fontId="1" fillId="4" borderId="37" xfId="0" applyNumberFormat="1" applyFont="1" applyFill="1" applyBorder="1"/>
    <xf numFmtId="0" fontId="1" fillId="4" borderId="6" xfId="0" applyFont="1" applyFill="1" applyBorder="1" applyAlignment="1">
      <alignment shrinkToFit="1"/>
    </xf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19" xfId="0" applyBorder="1" applyAlignment="1">
      <alignment horizontal="center"/>
    </xf>
    <xf numFmtId="2" fontId="0" fillId="0" borderId="0" xfId="0" applyNumberFormat="1" applyFill="1" applyBorder="1"/>
    <xf numFmtId="0" fontId="0" fillId="0" borderId="0" xfId="0" applyAlignment="1">
      <alignment textRotation="135"/>
    </xf>
    <xf numFmtId="0" fontId="0" fillId="0" borderId="43" xfId="0" pivotButton="1" applyBorder="1"/>
    <xf numFmtId="0" fontId="0" fillId="0" borderId="43" xfId="0" applyBorder="1"/>
    <xf numFmtId="164" fontId="0" fillId="0" borderId="43" xfId="0" applyNumberFormat="1" applyBorder="1"/>
    <xf numFmtId="2" fontId="0" fillId="0" borderId="43" xfId="0" applyNumberFormat="1" applyBorder="1" applyAlignment="1">
      <alignment horizontal="right"/>
    </xf>
    <xf numFmtId="0" fontId="0" fillId="0" borderId="43" xfId="0" pivotButton="1" applyBorder="1" applyAlignment="1">
      <alignment horizontal="center"/>
    </xf>
    <xf numFmtId="0" fontId="0" fillId="0" borderId="43" xfId="0" applyBorder="1" applyAlignment="1">
      <alignment horizontal="center"/>
    </xf>
    <xf numFmtId="2" fontId="0" fillId="0" borderId="43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169" fontId="0" fillId="0" borderId="43" xfId="0" applyNumberFormat="1" applyBorder="1"/>
    <xf numFmtId="2" fontId="0" fillId="0" borderId="0" xfId="0" applyNumberFormat="1" applyAlignment="1">
      <alignment horizontal="right"/>
    </xf>
    <xf numFmtId="0" fontId="0" fillId="0" borderId="0" xfId="0" applyBorder="1" applyAlignment="1">
      <alignment horizontal="center"/>
    </xf>
    <xf numFmtId="2" fontId="1" fillId="4" borderId="44" xfId="0" applyNumberFormat="1" applyFont="1" applyFill="1" applyBorder="1" applyAlignment="1">
      <alignment horizontal="right"/>
    </xf>
    <xf numFmtId="2" fontId="1" fillId="4" borderId="45" xfId="0" applyNumberFormat="1" applyFont="1" applyFill="1" applyBorder="1" applyAlignment="1">
      <alignment horizontal="right"/>
    </xf>
    <xf numFmtId="2" fontId="1" fillId="4" borderId="45" xfId="0" applyNumberFormat="1" applyFont="1" applyFill="1" applyBorder="1" applyAlignment="1">
      <alignment horizontal="right" shrinkToFit="1"/>
    </xf>
    <xf numFmtId="166" fontId="0" fillId="0" borderId="0" xfId="0" applyNumberFormat="1" applyFill="1" applyBorder="1" applyAlignment="1"/>
    <xf numFmtId="9" fontId="0" fillId="0" borderId="0" xfId="0" applyNumberFormat="1" applyFill="1" applyBorder="1"/>
    <xf numFmtId="0" fontId="0" fillId="0" borderId="0" xfId="0" applyAlignment="1">
      <alignment horizontal="center"/>
    </xf>
    <xf numFmtId="169" fontId="0" fillId="0" borderId="0" xfId="0" applyNumberFormat="1"/>
    <xf numFmtId="2" fontId="0" fillId="0" borderId="43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19" xfId="0" applyBorder="1" applyAlignment="1">
      <alignment shrinkToFit="1"/>
    </xf>
    <xf numFmtId="0" fontId="0" fillId="0" borderId="0" xfId="0" applyAlignment="1">
      <alignment horizontal="center"/>
    </xf>
    <xf numFmtId="0" fontId="9" fillId="0" borderId="0" xfId="1" applyAlignment="1">
      <alignment shrinkToFit="1"/>
    </xf>
    <xf numFmtId="2" fontId="0" fillId="0" borderId="0" xfId="0" applyNumberFormat="1"/>
    <xf numFmtId="3" fontId="0" fillId="0" borderId="0" xfId="0" applyNumberFormat="1" applyAlignment="1">
      <alignment horizontal="left" indent="1"/>
    </xf>
    <xf numFmtId="0" fontId="0" fillId="0" borderId="0" xfId="0" applyAlignment="1">
      <alignment horizontal="center"/>
    </xf>
    <xf numFmtId="2" fontId="0" fillId="0" borderId="0" xfId="0" applyNumberFormat="1" applyFill="1" applyBorder="1" applyAlignment="1">
      <alignment horizontal="right"/>
    </xf>
    <xf numFmtId="0" fontId="9" fillId="0" borderId="0" xfId="1"/>
    <xf numFmtId="0" fontId="0" fillId="0" borderId="0" xfId="0" applyAlignment="1">
      <alignment horizontal="center"/>
    </xf>
    <xf numFmtId="0" fontId="9" fillId="0" borderId="19" xfId="1" applyBorder="1"/>
    <xf numFmtId="14" fontId="0" fillId="0" borderId="0" xfId="0" applyNumberFormat="1" applyBorder="1"/>
    <xf numFmtId="0" fontId="9" fillId="0" borderId="0" xfId="1" applyBorder="1" applyAlignment="1">
      <alignment shrinkToFit="1"/>
    </xf>
    <xf numFmtId="3" fontId="0" fillId="0" borderId="0" xfId="0" applyNumberFormat="1" applyBorder="1"/>
    <xf numFmtId="0" fontId="0" fillId="0" borderId="0" xfId="0" applyAlignment="1">
      <alignment horizontal="center"/>
    </xf>
    <xf numFmtId="168" fontId="0" fillId="0" borderId="0" xfId="0" applyNumberFormat="1" applyBorder="1"/>
    <xf numFmtId="168" fontId="1" fillId="4" borderId="26" xfId="0" applyNumberFormat="1" applyFont="1" applyFill="1" applyBorder="1"/>
    <xf numFmtId="168" fontId="1" fillId="4" borderId="27" xfId="0" applyNumberFormat="1" applyFont="1" applyFill="1" applyBorder="1"/>
    <xf numFmtId="8" fontId="4" fillId="0" borderId="0" xfId="0" applyNumberFormat="1" applyFont="1" applyBorder="1"/>
    <xf numFmtId="8" fontId="4" fillId="0" borderId="49" xfId="0" applyNumberFormat="1" applyFont="1" applyBorder="1"/>
    <xf numFmtId="44" fontId="1" fillId="4" borderId="29" xfId="0" applyNumberFormat="1" applyFont="1" applyFill="1" applyBorder="1"/>
    <xf numFmtId="44" fontId="1" fillId="4" borderId="30" xfId="0" applyNumberFormat="1" applyFont="1" applyFill="1" applyBorder="1"/>
    <xf numFmtId="0" fontId="1" fillId="2" borderId="50" xfId="0" applyFont="1" applyFill="1" applyBorder="1" applyAlignment="1">
      <alignment horizontal="center"/>
    </xf>
    <xf numFmtId="164" fontId="0" fillId="0" borderId="14" xfId="0" applyNumberFormat="1" applyBorder="1"/>
    <xf numFmtId="164" fontId="9" fillId="0" borderId="14" xfId="1" applyNumberFormat="1" applyBorder="1"/>
    <xf numFmtId="0" fontId="0" fillId="14" borderId="51" xfId="0" applyFill="1" applyBorder="1"/>
    <xf numFmtId="0" fontId="0" fillId="14" borderId="52" xfId="0" applyFill="1" applyBorder="1"/>
    <xf numFmtId="168" fontId="0" fillId="14" borderId="52" xfId="0" applyNumberFormat="1" applyFill="1" applyBorder="1"/>
    <xf numFmtId="170" fontId="0" fillId="6" borderId="11" xfId="0" applyNumberFormat="1" applyFill="1" applyBorder="1"/>
    <xf numFmtId="171" fontId="0" fillId="0" borderId="0" xfId="0" applyNumberFormat="1"/>
    <xf numFmtId="3" fontId="1" fillId="4" borderId="26" xfId="0" applyNumberFormat="1" applyFont="1" applyFill="1" applyBorder="1"/>
    <xf numFmtId="3" fontId="1" fillId="4" borderId="27" xfId="0" applyNumberFormat="1" applyFont="1" applyFill="1" applyBorder="1"/>
    <xf numFmtId="44" fontId="1" fillId="4" borderId="53" xfId="0" applyNumberFormat="1" applyFont="1" applyFill="1" applyBorder="1"/>
    <xf numFmtId="44" fontId="1" fillId="4" borderId="54" xfId="0" applyNumberFormat="1" applyFont="1" applyFill="1" applyBorder="1"/>
    <xf numFmtId="0" fontId="1" fillId="4" borderId="55" xfId="0" applyFont="1" applyFill="1" applyBorder="1"/>
    <xf numFmtId="0" fontId="1" fillId="4" borderId="56" xfId="0" applyFont="1" applyFill="1" applyBorder="1"/>
    <xf numFmtId="0" fontId="1" fillId="4" borderId="57" xfId="0" applyFont="1" applyFill="1" applyBorder="1"/>
    <xf numFmtId="0" fontId="1" fillId="4" borderId="58" xfId="0" applyFont="1" applyFill="1" applyBorder="1"/>
    <xf numFmtId="166" fontId="4" fillId="15" borderId="11" xfId="0" applyNumberFormat="1" applyFont="1" applyFill="1" applyBorder="1" applyAlignment="1">
      <alignment wrapText="1"/>
    </xf>
    <xf numFmtId="9" fontId="4" fillId="15" borderId="11" xfId="0" applyNumberFormat="1" applyFont="1" applyFill="1" applyBorder="1" applyAlignment="1">
      <alignment wrapText="1"/>
    </xf>
    <xf numFmtId="0" fontId="4" fillId="15" borderId="11" xfId="0" applyFont="1" applyFill="1" applyBorder="1" applyAlignment="1">
      <alignment wrapText="1"/>
    </xf>
    <xf numFmtId="166" fontId="4" fillId="6" borderId="11" xfId="0" applyNumberFormat="1" applyFont="1" applyFill="1" applyBorder="1" applyAlignment="1">
      <alignment horizontal="center" vertical="center"/>
    </xf>
    <xf numFmtId="9" fontId="4" fillId="6" borderId="11" xfId="0" applyNumberFormat="1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2" fontId="0" fillId="0" borderId="2" xfId="0" applyNumberFormat="1" applyBorder="1"/>
    <xf numFmtId="167" fontId="0" fillId="0" borderId="42" xfId="0" applyNumberFormat="1" applyBorder="1"/>
    <xf numFmtId="2" fontId="0" fillId="0" borderId="0" xfId="0" applyNumberFormat="1" applyFill="1" applyBorder="1" applyAlignment="1">
      <alignment horizontal="center"/>
    </xf>
    <xf numFmtId="164" fontId="0" fillId="0" borderId="0" xfId="0" applyNumberFormat="1" applyBorder="1"/>
    <xf numFmtId="164" fontId="9" fillId="0" borderId="0" xfId="1" applyNumberFormat="1" applyBorder="1"/>
    <xf numFmtId="8" fontId="4" fillId="0" borderId="60" xfId="0" applyNumberFormat="1" applyFont="1" applyBorder="1"/>
    <xf numFmtId="8" fontId="4" fillId="0" borderId="61" xfId="0" applyNumberFormat="1" applyFont="1" applyBorder="1"/>
    <xf numFmtId="8" fontId="4" fillId="0" borderId="59" xfId="0" applyNumberFormat="1" applyFont="1" applyBorder="1"/>
    <xf numFmtId="164" fontId="0" fillId="0" borderId="62" xfId="0" applyNumberFormat="1" applyFill="1" applyBorder="1"/>
    <xf numFmtId="164" fontId="0" fillId="0" borderId="14" xfId="0" applyNumberFormat="1" applyFill="1" applyBorder="1"/>
    <xf numFmtId="164" fontId="0" fillId="0" borderId="63" xfId="0" applyNumberFormat="1" applyFill="1" applyBorder="1"/>
    <xf numFmtId="0" fontId="3" fillId="2" borderId="64" xfId="0" applyFont="1" applyFill="1" applyBorder="1" applyAlignment="1">
      <alignment horizontal="center"/>
    </xf>
    <xf numFmtId="164" fontId="0" fillId="0" borderId="2" xfId="0" applyNumberFormat="1" applyFill="1" applyBorder="1"/>
    <xf numFmtId="164" fontId="0" fillId="0" borderId="64" xfId="0" applyNumberFormat="1" applyFill="1" applyBorder="1"/>
    <xf numFmtId="0" fontId="2" fillId="3" borderId="11" xfId="0" applyFont="1" applyFill="1" applyBorder="1" applyAlignment="1">
      <alignment horizontal="center"/>
    </xf>
    <xf numFmtId="0" fontId="0" fillId="0" borderId="66" xfId="0" applyBorder="1"/>
    <xf numFmtId="0" fontId="9" fillId="0" borderId="66" xfId="1" applyBorder="1"/>
    <xf numFmtId="0" fontId="1" fillId="2" borderId="64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1" fontId="0" fillId="0" borderId="14" xfId="0" applyNumberFormat="1" applyFill="1" applyBorder="1"/>
    <xf numFmtId="1" fontId="0" fillId="0" borderId="67" xfId="0" applyNumberFormat="1" applyFill="1" applyBorder="1"/>
    <xf numFmtId="0" fontId="0" fillId="0" borderId="22" xfId="0" applyBorder="1" applyAlignment="1">
      <alignment horizontal="center"/>
    </xf>
    <xf numFmtId="1" fontId="1" fillId="4" borderId="4" xfId="0" applyNumberFormat="1" applyFont="1" applyFill="1" applyBorder="1"/>
    <xf numFmtId="1" fontId="1" fillId="4" borderId="53" xfId="0" applyNumberFormat="1" applyFont="1" applyFill="1" applyBorder="1"/>
    <xf numFmtId="1" fontId="1" fillId="4" borderId="6" xfId="0" applyNumberFormat="1" applyFont="1" applyFill="1" applyBorder="1"/>
    <xf numFmtId="1" fontId="1" fillId="4" borderId="54" xfId="0" applyNumberFormat="1" applyFont="1" applyFill="1" applyBorder="1"/>
    <xf numFmtId="1" fontId="1" fillId="4" borderId="8" xfId="0" applyNumberFormat="1" applyFont="1" applyFill="1" applyBorder="1"/>
    <xf numFmtId="1" fontId="1" fillId="4" borderId="55" xfId="0" applyNumberFormat="1" applyFont="1" applyFill="1" applyBorder="1"/>
    <xf numFmtId="1" fontId="0" fillId="0" borderId="64" xfId="0" applyNumberFormat="1" applyFill="1" applyBorder="1"/>
    <xf numFmtId="1" fontId="0" fillId="0" borderId="65" xfId="0" applyNumberFormat="1" applyFill="1" applyBorder="1"/>
    <xf numFmtId="0" fontId="0" fillId="0" borderId="23" xfId="0" applyBorder="1"/>
    <xf numFmtId="44" fontId="1" fillId="4" borderId="26" xfId="0" applyNumberFormat="1" applyFont="1" applyFill="1" applyBorder="1"/>
    <xf numFmtId="44" fontId="1" fillId="4" borderId="27" xfId="0" applyNumberFormat="1" applyFont="1" applyFill="1" applyBorder="1"/>
    <xf numFmtId="44" fontId="1" fillId="4" borderId="4" xfId="0" applyNumberFormat="1" applyFont="1" applyFill="1" applyBorder="1"/>
    <xf numFmtId="44" fontId="1" fillId="4" borderId="6" xfId="0" applyNumberFormat="1" applyFont="1" applyFill="1" applyBorder="1"/>
    <xf numFmtId="8" fontId="9" fillId="0" borderId="0" xfId="1" applyNumberFormat="1" applyAlignment="1"/>
    <xf numFmtId="1" fontId="0" fillId="0" borderId="62" xfId="0" applyNumberFormat="1" applyFill="1" applyBorder="1"/>
    <xf numFmtId="8" fontId="4" fillId="0" borderId="67" xfId="0" applyNumberFormat="1" applyFont="1" applyBorder="1"/>
    <xf numFmtId="167" fontId="0" fillId="0" borderId="23" xfId="0" applyNumberFormat="1" applyBorder="1"/>
    <xf numFmtId="164" fontId="0" fillId="0" borderId="65" xfId="0" applyNumberFormat="1" applyFill="1" applyBorder="1"/>
    <xf numFmtId="0" fontId="0" fillId="0" borderId="2" xfId="0" applyBorder="1"/>
    <xf numFmtId="14" fontId="0" fillId="0" borderId="2" xfId="0" applyNumberFormat="1" applyBorder="1"/>
    <xf numFmtId="0" fontId="9" fillId="0" borderId="2" xfId="1" applyBorder="1" applyAlignment="1">
      <alignment shrinkToFit="1"/>
    </xf>
    <xf numFmtId="0" fontId="0" fillId="0" borderId="2" xfId="0" applyBorder="1" applyAlignment="1">
      <alignment horizontal="center"/>
    </xf>
    <xf numFmtId="2" fontId="0" fillId="0" borderId="2" xfId="0" applyNumberFormat="1" applyFill="1" applyBorder="1"/>
    <xf numFmtId="3" fontId="0" fillId="0" borderId="41" xfId="0" applyNumberFormat="1" applyBorder="1"/>
    <xf numFmtId="9" fontId="0" fillId="0" borderId="2" xfId="0" applyNumberFormat="1" applyBorder="1"/>
    <xf numFmtId="1" fontId="0" fillId="0" borderId="42" xfId="0" applyNumberFormat="1" applyBorder="1"/>
    <xf numFmtId="3" fontId="0" fillId="0" borderId="2" xfId="0" applyNumberFormat="1" applyBorder="1"/>
    <xf numFmtId="2" fontId="0" fillId="0" borderId="41" xfId="0" applyNumberFormat="1" applyBorder="1"/>
    <xf numFmtId="168" fontId="0" fillId="0" borderId="2" xfId="0" applyNumberFormat="1" applyBorder="1"/>
    <xf numFmtId="8" fontId="4" fillId="0" borderId="2" xfId="0" applyNumberFormat="1" applyFont="1" applyBorder="1"/>
    <xf numFmtId="164" fontId="9" fillId="0" borderId="2" xfId="1" applyNumberFormat="1" applyBorder="1"/>
    <xf numFmtId="0" fontId="0" fillId="0" borderId="68" xfId="0" applyBorder="1"/>
    <xf numFmtId="2" fontId="0" fillId="0" borderId="2" xfId="0" applyNumberFormat="1" applyFill="1" applyBorder="1" applyAlignment="1">
      <alignment horizontal="right"/>
    </xf>
    <xf numFmtId="167" fontId="0" fillId="0" borderId="2" xfId="0" applyNumberFormat="1" applyBorder="1"/>
    <xf numFmtId="2" fontId="9" fillId="0" borderId="41" xfId="1" applyNumberFormat="1" applyBorder="1"/>
    <xf numFmtId="0" fontId="9" fillId="0" borderId="68" xfId="1" applyBorder="1"/>
    <xf numFmtId="0" fontId="1" fillId="16" borderId="12" xfId="0" applyFont="1" applyFill="1" applyBorder="1" applyAlignment="1">
      <alignment horizontal="center"/>
    </xf>
    <xf numFmtId="0" fontId="1" fillId="16" borderId="13" xfId="0" applyFont="1" applyFill="1" applyBorder="1" applyAlignment="1">
      <alignment horizontal="center"/>
    </xf>
    <xf numFmtId="14" fontId="1" fillId="6" borderId="12" xfId="0" applyNumberFormat="1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165" fontId="1" fillId="6" borderId="12" xfId="0" applyNumberFormat="1" applyFont="1" applyFill="1" applyBorder="1" applyAlignment="1">
      <alignment horizontal="center"/>
    </xf>
    <xf numFmtId="165" fontId="1" fillId="6" borderId="13" xfId="0" applyNumberFormat="1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1" fillId="10" borderId="32" xfId="0" applyFont="1" applyFill="1" applyBorder="1" applyAlignment="1">
      <alignment horizontal="center"/>
    </xf>
    <xf numFmtId="0" fontId="0" fillId="10" borderId="25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0" fontId="1" fillId="7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49" fontId="1" fillId="9" borderId="39" xfId="0" applyNumberFormat="1" applyFont="1" applyFill="1" applyBorder="1" applyAlignment="1">
      <alignment horizontal="center" vertical="center"/>
    </xf>
    <xf numFmtId="49" fontId="0" fillId="9" borderId="11" xfId="0" applyNumberFormat="1" applyFill="1" applyBorder="1" applyAlignment="1">
      <alignment horizontal="center" vertical="center"/>
    </xf>
    <xf numFmtId="49" fontId="0" fillId="9" borderId="40" xfId="0" applyNumberFormat="1" applyFill="1" applyBorder="1" applyAlignment="1">
      <alignment horizontal="center" vertical="center"/>
    </xf>
    <xf numFmtId="0" fontId="1" fillId="12" borderId="46" xfId="0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3" xfId="0" applyFill="1" applyBorder="1" applyAlignment="1">
      <alignment horizontal="center"/>
    </xf>
    <xf numFmtId="0" fontId="1" fillId="13" borderId="12" xfId="0" applyFont="1" applyFill="1" applyBorder="1" applyAlignment="1">
      <alignment horizontal="center" shrinkToFit="1"/>
    </xf>
    <xf numFmtId="0" fontId="0" fillId="13" borderId="25" xfId="0" applyFill="1" applyBorder="1" applyAlignment="1">
      <alignment horizontal="center" shrinkToFit="1"/>
    </xf>
    <xf numFmtId="0" fontId="0" fillId="0" borderId="13" xfId="0" applyBorder="1" applyAlignment="1">
      <alignment horizontal="center" shrinkToFit="1"/>
    </xf>
    <xf numFmtId="0" fontId="7" fillId="8" borderId="47" xfId="0" applyFont="1" applyFill="1" applyBorder="1" applyAlignment="1">
      <alignment horizontal="center" vertical="center" shrinkToFit="1"/>
    </xf>
    <xf numFmtId="0" fontId="0" fillId="0" borderId="48" xfId="0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2" fontId="0" fillId="11" borderId="43" xfId="0" applyNumberFormat="1" applyFont="1" applyFill="1" applyBorder="1" applyAlignment="1">
      <alignment horizontal="center" shrinkToFit="1"/>
    </xf>
    <xf numFmtId="0" fontId="0" fillId="0" borderId="43" xfId="0" applyBorder="1" applyAlignment="1">
      <alignment horizontal="center" shrinkToFit="1"/>
    </xf>
    <xf numFmtId="2" fontId="0" fillId="11" borderId="47" xfId="0" applyNumberFormat="1" applyFont="1" applyFill="1" applyBorder="1" applyAlignment="1">
      <alignment horizontal="center" shrinkToFit="1"/>
    </xf>
    <xf numFmtId="0" fontId="0" fillId="0" borderId="48" xfId="0" applyBorder="1" applyAlignment="1">
      <alignment horizontal="center" shrinkToFit="1"/>
    </xf>
  </cellXfs>
  <cellStyles count="2">
    <cellStyle name="Hyperlink" xfId="1" builtinId="8"/>
    <cellStyle name="Normal" xfId="0" builtinId="0"/>
  </cellStyles>
  <dxfs count="90">
    <dxf>
      <numFmt numFmtId="164" formatCode="&quot;$&quot;#,##0.00"/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numFmt numFmtId="172" formatCode="0.0000"/>
    </dxf>
    <dxf>
      <numFmt numFmtId="2" formatCode="0.00"/>
    </dxf>
    <dxf>
      <numFmt numFmtId="2" formatCode="0.0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right" readingOrder="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numFmt numFmtId="2" formatCode="0.00"/>
    </dxf>
    <dxf>
      <numFmt numFmtId="2" formatCode="0.00"/>
    </dxf>
    <dxf>
      <numFmt numFmtId="172" formatCode="0.0000"/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vertical/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vertic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medium">
          <color auto="1"/>
        </left>
        <right/>
        <top/>
        <bottom/>
        <vertical/>
        <horizontal/>
      </border>
    </dxf>
    <dxf>
      <font>
        <color auto="1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  <vertical/>
        <horizontal/>
      </border>
    </dxf>
    <dxf>
      <font>
        <color auto="1"/>
      </font>
      <numFmt numFmtId="12" formatCode="&quot;$&quot;#,##0.00_);[Red]\(&quot;$&quot;#,##0.00\)"/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1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color auto="1"/>
      </font>
      <fill>
        <patternFill>
          <bgColor rgb="FF92D050"/>
        </patternFill>
      </fill>
      <border>
        <left style="hair">
          <color auto="1"/>
        </left>
        <top style="hair">
          <color auto="1"/>
        </top>
        <bottom style="hair">
          <color auto="1"/>
        </bottom>
      </border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9623AD"/>
      <color rgb="FFFFFF66"/>
      <color rgb="FFB0209F"/>
      <color rgb="FF8427A9"/>
      <color rgb="FF9B06CA"/>
      <color rgb="FF90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500"/>
              <a:t>3.5" NAS Drives</a:t>
            </a:r>
            <a:r>
              <a:rPr lang="en-US" sz="1500" baseline="0"/>
              <a:t> </a:t>
            </a:r>
            <a:r>
              <a:rPr lang="en-US" sz="1500"/>
              <a:t>Avg Cost</a:t>
            </a:r>
          </a:p>
          <a:p>
            <a:pPr>
              <a:defRPr/>
            </a:pPr>
            <a:r>
              <a:rPr lang="en-US" sz="1500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088648293963256"/>
          <c:y val="0.28064814814814815"/>
          <c:w val="0.8585579615048119"/>
          <c:h val="0.5194291338582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Tables!$B$5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Tables!$A$6:$A$17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Tables!$B$6:$B$17</c:f>
              <c:numCache>
                <c:formatCode>"$"#,##0.00</c:formatCode>
                <c:ptCount val="11"/>
                <c:pt idx="0">
                  <c:v>92.657777777777767</c:v>
                </c:pt>
                <c:pt idx="1">
                  <c:v>17.673093333333338</c:v>
                </c:pt>
                <c:pt idx="2">
                  <c:v>13.584556000000001</c:v>
                </c:pt>
                <c:pt idx="3">
                  <c:v>9.9244666666666657</c:v>
                </c:pt>
                <c:pt idx="4">
                  <c:v>7.5289890909090902</c:v>
                </c:pt>
                <c:pt idx="5">
                  <c:v>11.714556000000002</c:v>
                </c:pt>
                <c:pt idx="6">
                  <c:v>7.629628181818183</c:v>
                </c:pt>
                <c:pt idx="7">
                  <c:v>7.4877919999999989</c:v>
                </c:pt>
                <c:pt idx="8">
                  <c:v>7.6139584999999999</c:v>
                </c:pt>
                <c:pt idx="9">
                  <c:v>8.0872593333333338</c:v>
                </c:pt>
                <c:pt idx="1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1C-473B-8837-61EB2BB4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63938688"/>
        <c:axId val="163940608"/>
      </c:barChart>
      <c:catAx>
        <c:axId val="1639386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940608"/>
        <c:crosses val="autoZero"/>
        <c:auto val="1"/>
        <c:lblAlgn val="ctr"/>
        <c:lblOffset val="100"/>
        <c:noMultiLvlLbl val="0"/>
      </c:catAx>
      <c:valAx>
        <c:axId val="16394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938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</a:t>
            </a:r>
            <a:r>
              <a:rPr lang="en-US" baseline="0"/>
              <a:t> </a:t>
            </a:r>
            <a:r>
              <a:rPr lang="en-US"/>
              <a:t>Avg Energy Cost</a:t>
            </a:r>
          </a:p>
          <a:p>
            <a:pPr>
              <a:defRPr/>
            </a:pPr>
            <a:r>
              <a:rPr lang="en-US"/>
              <a:t>by Size per TB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Tables!$B$23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Tables!$A$24:$A$35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Tables!$B$24:$B$35</c:f>
              <c:numCache>
                <c:formatCode>"$"#,##0.000</c:formatCode>
                <c:ptCount val="11"/>
                <c:pt idx="0">
                  <c:v>7.4021973333333335</c:v>
                </c:pt>
                <c:pt idx="1">
                  <c:v>5.0538258800000007</c:v>
                </c:pt>
                <c:pt idx="2">
                  <c:v>3.0546482160000004</c:v>
                </c:pt>
                <c:pt idx="3">
                  <c:v>2.06287552</c:v>
                </c:pt>
                <c:pt idx="4">
                  <c:v>1.7020516036363638</c:v>
                </c:pt>
                <c:pt idx="5">
                  <c:v>1.23597216</c:v>
                </c:pt>
                <c:pt idx="6">
                  <c:v>1.2288665818181819</c:v>
                </c:pt>
                <c:pt idx="7">
                  <c:v>0.85959234000000007</c:v>
                </c:pt>
                <c:pt idx="8">
                  <c:v>0.6036199733333335</c:v>
                </c:pt>
                <c:pt idx="9">
                  <c:v>0.49313487333333333</c:v>
                </c:pt>
                <c:pt idx="10">
                  <c:v>0.38631956571428577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80-421A-B0EF-7520CA8616D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63995648"/>
        <c:axId val="163997568"/>
      </c:barChart>
      <c:catAx>
        <c:axId val="1639956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</a:t>
                </a:r>
                <a:r>
                  <a:rPr lang="en-US" baseline="0"/>
                  <a:t>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997568"/>
        <c:crosses val="autoZero"/>
        <c:auto val="1"/>
        <c:lblAlgn val="ctr"/>
        <c:lblOffset val="100"/>
        <c:noMultiLvlLbl val="0"/>
      </c:catAx>
      <c:valAx>
        <c:axId val="16399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995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Energy Cost</a:t>
            </a:r>
          </a:p>
          <a:p>
            <a:pPr>
              <a:defRPr/>
            </a:pPr>
            <a:r>
              <a:rPr lang="en-US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Tables!$B$41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Tables!$A$42:$A$53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Tables!$B$42:$B$53</c:f>
              <c:numCache>
                <c:formatCode>"$"#,##0.000</c:formatCode>
                <c:ptCount val="11"/>
                <c:pt idx="0">
                  <c:v>6.6619776000000002</c:v>
                </c:pt>
                <c:pt idx="1">
                  <c:v>5.0538258800000007</c:v>
                </c:pt>
                <c:pt idx="2">
                  <c:v>6.1092964320000007</c:v>
                </c:pt>
                <c:pt idx="3">
                  <c:v>6.1886265600000003</c:v>
                </c:pt>
                <c:pt idx="4">
                  <c:v>6.8082064145454551</c:v>
                </c:pt>
                <c:pt idx="5">
                  <c:v>6.1798608000000002</c:v>
                </c:pt>
                <c:pt idx="6">
                  <c:v>7.3731994909090908</c:v>
                </c:pt>
                <c:pt idx="7">
                  <c:v>6.8767387200000005</c:v>
                </c:pt>
                <c:pt idx="8">
                  <c:v>6.0361997333333335</c:v>
                </c:pt>
                <c:pt idx="9">
                  <c:v>5.9176184800000007</c:v>
                </c:pt>
                <c:pt idx="10">
                  <c:v>5.4084739200000005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25-41DE-8ABE-B6A8179632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63859456"/>
        <c:axId val="163886208"/>
      </c:barChart>
      <c:catAx>
        <c:axId val="1638594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IN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886208"/>
        <c:crosses val="autoZero"/>
        <c:auto val="1"/>
        <c:lblAlgn val="ctr"/>
        <c:lblOffset val="100"/>
        <c:noMultiLvlLbl val="0"/>
      </c:catAx>
      <c:valAx>
        <c:axId val="163886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859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Cost</a:t>
            </a:r>
          </a:p>
          <a:p>
            <a:pPr>
              <a:defRPr/>
            </a:pPr>
            <a:r>
              <a:rPr lang="en-US"/>
              <a:t>by RPM by Manu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Tables!$B$60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Tables!$A$61:$A$74</c:f>
              <c:multiLvlStrCache>
                <c:ptCount val="8"/>
                <c:lvl>
                  <c:pt idx="0">
                    <c:v>WD</c:v>
                  </c:pt>
                  <c:pt idx="1">
                    <c:v>WD</c:v>
                  </c:pt>
                  <c:pt idx="2">
                    <c:v>Seagate</c:v>
                  </c:pt>
                  <c:pt idx="3">
                    <c:v>HGST</c:v>
                  </c:pt>
                  <c:pt idx="4">
                    <c:v>Seagate</c:v>
                  </c:pt>
                  <c:pt idx="5">
                    <c:v>Toshiba</c:v>
                  </c:pt>
                  <c:pt idx="6">
                    <c:v>WD</c:v>
                  </c:pt>
                  <c:pt idx="7">
                    <c:v>Seagate</c:v>
                  </c:pt>
                </c:lvl>
                <c:lvl>
                  <c:pt idx="0">
                    <c:v>5,400</c:v>
                  </c:pt>
                  <c:pt idx="1">
                    <c:v>5,760</c:v>
                  </c:pt>
                  <c:pt idx="2">
                    <c:v>5,900</c:v>
                  </c:pt>
                  <c:pt idx="3">
                    <c:v>7,200</c:v>
                  </c:pt>
                  <c:pt idx="7">
                    <c:v>15,000</c:v>
                  </c:pt>
                </c:lvl>
              </c:multiLvlStrCache>
            </c:multiLvlStrRef>
          </c:cat>
          <c:val>
            <c:numRef>
              <c:f>Tables!$B$61:$B$74</c:f>
              <c:numCache>
                <c:formatCode>"$"#,##0.00</c:formatCode>
                <c:ptCount val="8"/>
                <c:pt idx="0">
                  <c:v>47.782176874999998</c:v>
                </c:pt>
                <c:pt idx="1">
                  <c:v>47.986666666666672</c:v>
                </c:pt>
                <c:pt idx="2">
                  <c:v>48.714396666666673</c:v>
                </c:pt>
                <c:pt idx="3">
                  <c:v>46.373416960784311</c:v>
                </c:pt>
                <c:pt idx="4">
                  <c:v>53.102854393939403</c:v>
                </c:pt>
                <c:pt idx="5">
                  <c:v>37.84291666666666</c:v>
                </c:pt>
                <c:pt idx="6">
                  <c:v>48.208500000000001</c:v>
                </c:pt>
                <c:pt idx="7">
                  <c:v>463.28888888888883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DA-4CBF-A403-38EFD55286E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64116736"/>
        <c:axId val="164131200"/>
      </c:barChart>
      <c:catAx>
        <c:axId val="1641167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131200"/>
        <c:crosses val="autoZero"/>
        <c:auto val="1"/>
        <c:lblAlgn val="ctr"/>
        <c:lblOffset val="100"/>
        <c:noMultiLvlLbl val="0"/>
      </c:catAx>
      <c:valAx>
        <c:axId val="16413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116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analysis.xlsx]Tables!PivotTable7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Tables!$B$82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Tables!$A$83:$A$112</c:f>
              <c:multiLvlStrCache>
                <c:ptCount val="20"/>
                <c:lvl>
                  <c:pt idx="0">
                    <c:v>5,400</c:v>
                  </c:pt>
                  <c:pt idx="1">
                    <c:v>5,900</c:v>
                  </c:pt>
                  <c:pt idx="2">
                    <c:v>5,400</c:v>
                  </c:pt>
                  <c:pt idx="3">
                    <c:v>5,900</c:v>
                  </c:pt>
                  <c:pt idx="4">
                    <c:v>7,200</c:v>
                  </c:pt>
                  <c:pt idx="5">
                    <c:v>5,400</c:v>
                  </c:pt>
                  <c:pt idx="6">
                    <c:v>5,900</c:v>
                  </c:pt>
                  <c:pt idx="7">
                    <c:v>7,200</c:v>
                  </c:pt>
                  <c:pt idx="8">
                    <c:v>5,400</c:v>
                  </c:pt>
                  <c:pt idx="9">
                    <c:v>5,900</c:v>
                  </c:pt>
                  <c:pt idx="10">
                    <c:v>7,200</c:v>
                  </c:pt>
                  <c:pt idx="11">
                    <c:v>5,400</c:v>
                  </c:pt>
                  <c:pt idx="12">
                    <c:v>5,400</c:v>
                  </c:pt>
                  <c:pt idx="13">
                    <c:v>5,760</c:v>
                  </c:pt>
                  <c:pt idx="14">
                    <c:v>7,200</c:v>
                  </c:pt>
                  <c:pt idx="15">
                    <c:v>5,400</c:v>
                  </c:pt>
                  <c:pt idx="16">
                    <c:v>7,200</c:v>
                  </c:pt>
                  <c:pt idx="17">
                    <c:v>5,400</c:v>
                  </c:pt>
                  <c:pt idx="18">
                    <c:v>7,200</c:v>
                  </c:pt>
                  <c:pt idx="19">
                    <c:v>7,200</c:v>
                  </c:pt>
                </c:lvl>
                <c:lvl>
                  <c:pt idx="0">
                    <c:v>1.00</c:v>
                  </c:pt>
                  <c:pt idx="2">
                    <c:v>2.00</c:v>
                  </c:pt>
                  <c:pt idx="5">
                    <c:v>3.00</c:v>
                  </c:pt>
                  <c:pt idx="8">
                    <c:v>4.00</c:v>
                  </c:pt>
                  <c:pt idx="11">
                    <c:v>5.00</c:v>
                  </c:pt>
                  <c:pt idx="12">
                    <c:v>6.00</c:v>
                  </c:pt>
                  <c:pt idx="15">
                    <c:v>8.00</c:v>
                  </c:pt>
                  <c:pt idx="17">
                    <c:v>10.00</c:v>
                  </c:pt>
                  <c:pt idx="19">
                    <c:v>12.00</c:v>
                  </c:pt>
                </c:lvl>
              </c:multiLvlStrCache>
            </c:multiLvlStrRef>
          </c:cat>
          <c:val>
            <c:numRef>
              <c:f>Tables!$B$83:$B$112</c:f>
              <c:numCache>
                <c:formatCode>0.00</c:formatCode>
                <c:ptCount val="20"/>
                <c:pt idx="0">
                  <c:v>14.399999999999999</c:v>
                </c:pt>
                <c:pt idx="1">
                  <c:v>14.399999999999999</c:v>
                </c:pt>
                <c:pt idx="2">
                  <c:v>20.759999999999998</c:v>
                </c:pt>
                <c:pt idx="3">
                  <c:v>24</c:v>
                </c:pt>
                <c:pt idx="4">
                  <c:v>23.4</c:v>
                </c:pt>
                <c:pt idx="5">
                  <c:v>20.759999999999998</c:v>
                </c:pt>
                <c:pt idx="6">
                  <c:v>24</c:v>
                </c:pt>
                <c:pt idx="7">
                  <c:v>22.799999999999997</c:v>
                </c:pt>
                <c:pt idx="8">
                  <c:v>21</c:v>
                </c:pt>
                <c:pt idx="9">
                  <c:v>22.8</c:v>
                </c:pt>
                <c:pt idx="10">
                  <c:v>25.16</c:v>
                </c:pt>
                <c:pt idx="11">
                  <c:v>21</c:v>
                </c:pt>
                <c:pt idx="12">
                  <c:v>21</c:v>
                </c:pt>
                <c:pt idx="14">
                  <c:v>24.270000000000003</c:v>
                </c:pt>
                <c:pt idx="15">
                  <c:v>21.48</c:v>
                </c:pt>
                <c:pt idx="16">
                  <c:v>24.270000000000003</c:v>
                </c:pt>
                <c:pt idx="17">
                  <c:v>21.48</c:v>
                </c:pt>
                <c:pt idx="18">
                  <c:v>24.299999999999997</c:v>
                </c:pt>
                <c:pt idx="19">
                  <c:v>22.8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7FA-4427-B5CF-9DF4FE462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64173312"/>
        <c:axId val="164174848"/>
      </c:barChart>
      <c:catAx>
        <c:axId val="164173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174848"/>
        <c:crosses val="autoZero"/>
        <c:auto val="1"/>
        <c:lblAlgn val="ctr"/>
        <c:lblOffset val="100"/>
        <c:noMultiLvlLbl val="0"/>
      </c:catAx>
      <c:valAx>
        <c:axId val="164174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Max</a:t>
                </a:r>
                <a:r>
                  <a:rPr lang="en-US" baseline="0"/>
                  <a:t> Startup Watts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173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22" l="0.70000000000000062" r="0.70000000000000062" t="0.75000000000000122" header="0.30000000000000032" footer="0.30000000000000032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'Drive Table'!$C$3:$C$149</c:f>
              <c:strCache>
                <c:ptCount val="147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5K1000</c:v>
                </c:pt>
                <c:pt idx="5">
                  <c:v>Travelstar 7K1000</c:v>
                </c:pt>
                <c:pt idx="6">
                  <c:v>Ultrastar 7K2000</c:v>
                </c:pt>
                <c:pt idx="7">
                  <c:v>Ultrastar 7K2000</c:v>
                </c:pt>
                <c:pt idx="8">
                  <c:v>Ultrastar 7K4000</c:v>
                </c:pt>
                <c:pt idx="9">
                  <c:v>Ultrastar 7K4000</c:v>
                </c:pt>
                <c:pt idx="10">
                  <c:v>Ultrastar 7K4000</c:v>
                </c:pt>
                <c:pt idx="11">
                  <c:v>Ultrastar 7K6000</c:v>
                </c:pt>
                <c:pt idx="12">
                  <c:v>Ultrastar 7K6000</c:v>
                </c:pt>
                <c:pt idx="13">
                  <c:v>Ultrastar 7K6000</c:v>
                </c:pt>
                <c:pt idx="14">
                  <c:v>Ultrastar 7K6000</c:v>
                </c:pt>
                <c:pt idx="15">
                  <c:v>Ultrastar Archive Ha10</c:v>
                </c:pt>
                <c:pt idx="16">
                  <c:v>Ultrastar C10K900</c:v>
                </c:pt>
                <c:pt idx="17">
                  <c:v>Ultrastar C10K1200</c:v>
                </c:pt>
                <c:pt idx="18">
                  <c:v>Ultrastar C10K1800</c:v>
                </c:pt>
                <c:pt idx="19">
                  <c:v>Ultrastar C15K600</c:v>
                </c:pt>
                <c:pt idx="20">
                  <c:v>Ultrastar He6</c:v>
                </c:pt>
                <c:pt idx="21">
                  <c:v>Ultrastar He8</c:v>
                </c:pt>
                <c:pt idx="22">
                  <c:v>Ultrastar He10</c:v>
                </c:pt>
                <c:pt idx="23">
                  <c:v>Ultrastar He12</c:v>
                </c:pt>
                <c:pt idx="24">
                  <c:v>Ultrastar Hs14</c:v>
                </c:pt>
                <c:pt idx="25">
                  <c:v>Archive</c:v>
                </c:pt>
                <c:pt idx="26">
                  <c:v>Archive</c:v>
                </c:pt>
                <c:pt idx="27">
                  <c:v>Archive</c:v>
                </c:pt>
                <c:pt idx="28">
                  <c:v>BarraCuda</c:v>
                </c:pt>
                <c:pt idx="29">
                  <c:v>BarraCuda</c:v>
                </c:pt>
                <c:pt idx="30">
                  <c:v>BarraCuda</c:v>
                </c:pt>
                <c:pt idx="31">
                  <c:v>BarraCuda</c:v>
                </c:pt>
                <c:pt idx="32">
                  <c:v>BarraCuda</c:v>
                </c:pt>
                <c:pt idx="33">
                  <c:v>BarraCuda</c:v>
                </c:pt>
                <c:pt idx="34">
                  <c:v>BarraCuda</c:v>
                </c:pt>
                <c:pt idx="35">
                  <c:v>BarraCuda</c:v>
                </c:pt>
                <c:pt idx="36">
                  <c:v>BarraCuda</c:v>
                </c:pt>
                <c:pt idx="37">
                  <c:v>BarraCuda</c:v>
                </c:pt>
                <c:pt idx="38">
                  <c:v>BarraCuda</c:v>
                </c:pt>
                <c:pt idx="39">
                  <c:v>BarraCuda Pro</c:v>
                </c:pt>
                <c:pt idx="40">
                  <c:v>BarraCuda Pro</c:v>
                </c:pt>
                <c:pt idx="41">
                  <c:v>BarraCuda Pro</c:v>
                </c:pt>
                <c:pt idx="42">
                  <c:v>BarraCuda Pro</c:v>
                </c:pt>
                <c:pt idx="43">
                  <c:v>BarraCuda Pro</c:v>
                </c:pt>
                <c:pt idx="44">
                  <c:v>BarraCuda Pro</c:v>
                </c:pt>
                <c:pt idx="45">
                  <c:v>Constellation ES.3</c:v>
                </c:pt>
                <c:pt idx="46">
                  <c:v>Exos 10E2400</c:v>
                </c:pt>
                <c:pt idx="47">
                  <c:v>Exos 10E2400</c:v>
                </c:pt>
                <c:pt idx="48">
                  <c:v>Exos 10E2400</c:v>
                </c:pt>
                <c:pt idx="49">
                  <c:v>Exos 15E900</c:v>
                </c:pt>
                <c:pt idx="50">
                  <c:v>Exos 5E8</c:v>
                </c:pt>
                <c:pt idx="51">
                  <c:v>Exos 7E2</c:v>
                </c:pt>
                <c:pt idx="52">
                  <c:v>Exos 7E2</c:v>
                </c:pt>
                <c:pt idx="53">
                  <c:v>Exos 7E2000</c:v>
                </c:pt>
                <c:pt idx="54">
                  <c:v>Exos 7E2000</c:v>
                </c:pt>
                <c:pt idx="55">
                  <c:v>Exos 7E8</c:v>
                </c:pt>
                <c:pt idx="56">
                  <c:v>Exos 7E8</c:v>
                </c:pt>
                <c:pt idx="57">
                  <c:v>Exos 7E8</c:v>
                </c:pt>
                <c:pt idx="58">
                  <c:v>Exos 7E8</c:v>
                </c:pt>
                <c:pt idx="59">
                  <c:v>Exos 7E8</c:v>
                </c:pt>
                <c:pt idx="60">
                  <c:v>Exos 7E8</c:v>
                </c:pt>
                <c:pt idx="61">
                  <c:v>Exos X10</c:v>
                </c:pt>
                <c:pt idx="62">
                  <c:v>Exos X10</c:v>
                </c:pt>
                <c:pt idx="63">
                  <c:v>Exos X12</c:v>
                </c:pt>
                <c:pt idx="64">
                  <c:v>FireCuda SSHD</c:v>
                </c:pt>
                <c:pt idx="65">
                  <c:v>FireCuda SSHD</c:v>
                </c:pt>
                <c:pt idx="66">
                  <c:v>FireCuda SSHD</c:v>
                </c:pt>
                <c:pt idx="67">
                  <c:v>FireCuda SSHD</c:v>
                </c:pt>
                <c:pt idx="68">
                  <c:v>IronWolf</c:v>
                </c:pt>
                <c:pt idx="69">
                  <c:v>IronWolf</c:v>
                </c:pt>
                <c:pt idx="70">
                  <c:v>IronWolf</c:v>
                </c:pt>
                <c:pt idx="71">
                  <c:v>IronWolf</c:v>
                </c:pt>
                <c:pt idx="72">
                  <c:v>IronWolf</c:v>
                </c:pt>
                <c:pt idx="73">
                  <c:v>IronWolf</c:v>
                </c:pt>
                <c:pt idx="74">
                  <c:v>IronWolf</c:v>
                </c:pt>
                <c:pt idx="75">
                  <c:v>IronWolf</c:v>
                </c:pt>
                <c:pt idx="76">
                  <c:v>IronWolf Pro</c:v>
                </c:pt>
                <c:pt idx="77">
                  <c:v>IronWolf Pro</c:v>
                </c:pt>
                <c:pt idx="78">
                  <c:v>IronWolf Pro</c:v>
                </c:pt>
                <c:pt idx="79">
                  <c:v>IronWolf Pro</c:v>
                </c:pt>
                <c:pt idx="80">
                  <c:v>IronWolf Pro</c:v>
                </c:pt>
                <c:pt idx="81">
                  <c:v>IronWolf Pro</c:v>
                </c:pt>
                <c:pt idx="82">
                  <c:v>Terascale</c:v>
                </c:pt>
                <c:pt idx="83">
                  <c:v>DT01ACA</c:v>
                </c:pt>
                <c:pt idx="84">
                  <c:v>DT01ACA</c:v>
                </c:pt>
                <c:pt idx="85">
                  <c:v>DT01ACA</c:v>
                </c:pt>
                <c:pt idx="86">
                  <c:v>Enterprise Capacity</c:v>
                </c:pt>
                <c:pt idx="87">
                  <c:v>Enterprise Capacity</c:v>
                </c:pt>
                <c:pt idx="88">
                  <c:v>Enterprise Capacity</c:v>
                </c:pt>
                <c:pt idx="89">
                  <c:v>Enterprise Capacity</c:v>
                </c:pt>
                <c:pt idx="90">
                  <c:v>Enterprise Capacity</c:v>
                </c:pt>
                <c:pt idx="91">
                  <c:v>Enterprise Performance</c:v>
                </c:pt>
                <c:pt idx="92">
                  <c:v>Enterprise Performance</c:v>
                </c:pt>
                <c:pt idx="93">
                  <c:v>Enterprise Performance</c:v>
                </c:pt>
                <c:pt idx="94">
                  <c:v>Enterprise Performance</c:v>
                </c:pt>
                <c:pt idx="95">
                  <c:v>Enterprise Performance</c:v>
                </c:pt>
                <c:pt idx="96">
                  <c:v>HDKFB06</c:v>
                </c:pt>
                <c:pt idx="97">
                  <c:v>L200</c:v>
                </c:pt>
                <c:pt idx="98">
                  <c:v>L200</c:v>
                </c:pt>
                <c:pt idx="99">
                  <c:v>N300</c:v>
                </c:pt>
                <c:pt idx="100">
                  <c:v>N300</c:v>
                </c:pt>
                <c:pt idx="101">
                  <c:v>N300</c:v>
                </c:pt>
                <c:pt idx="102">
                  <c:v>N300</c:v>
                </c:pt>
                <c:pt idx="103">
                  <c:v>P300</c:v>
                </c:pt>
                <c:pt idx="104">
                  <c:v>P300</c:v>
                </c:pt>
                <c:pt idx="105">
                  <c:v>P300</c:v>
                </c:pt>
                <c:pt idx="106">
                  <c:v>X300</c:v>
                </c:pt>
                <c:pt idx="107">
                  <c:v>X300</c:v>
                </c:pt>
                <c:pt idx="108">
                  <c:v>X300</c:v>
                </c:pt>
                <c:pt idx="109">
                  <c:v>X300</c:v>
                </c:pt>
                <c:pt idx="110">
                  <c:v>X300</c:v>
                </c:pt>
                <c:pt idx="111">
                  <c:v>Ae</c:v>
                </c:pt>
                <c:pt idx="112">
                  <c:v>Black</c:v>
                </c:pt>
                <c:pt idx="113">
                  <c:v>Black</c:v>
                </c:pt>
                <c:pt idx="114">
                  <c:v>Black</c:v>
                </c:pt>
                <c:pt idx="115">
                  <c:v>Black</c:v>
                </c:pt>
                <c:pt idx="116">
                  <c:v>Black</c:v>
                </c:pt>
                <c:pt idx="117">
                  <c:v>Blue</c:v>
                </c:pt>
                <c:pt idx="118">
                  <c:v>Blue</c:v>
                </c:pt>
                <c:pt idx="119">
                  <c:v>Blue</c:v>
                </c:pt>
                <c:pt idx="120">
                  <c:v>Blue</c:v>
                </c:pt>
                <c:pt idx="121">
                  <c:v>Blue</c:v>
                </c:pt>
                <c:pt idx="122">
                  <c:v>Blue</c:v>
                </c:pt>
                <c:pt idx="123">
                  <c:v>Blue</c:v>
                </c:pt>
                <c:pt idx="124">
                  <c:v>Gold Enterprise</c:v>
                </c:pt>
                <c:pt idx="125">
                  <c:v>Gold Enterprise</c:v>
                </c:pt>
                <c:pt idx="126">
                  <c:v>Gold Enterprise</c:v>
                </c:pt>
                <c:pt idx="127">
                  <c:v>Gold Enterprise</c:v>
                </c:pt>
                <c:pt idx="128">
                  <c:v>Gold Enterprise</c:v>
                </c:pt>
                <c:pt idx="129">
                  <c:v>Gold Enterprise</c:v>
                </c:pt>
                <c:pt idx="130">
                  <c:v>Gold Enterprise</c:v>
                </c:pt>
                <c:pt idx="131">
                  <c:v>Red NAS</c:v>
                </c:pt>
                <c:pt idx="132">
                  <c:v>Red NAS</c:v>
                </c:pt>
                <c:pt idx="133">
                  <c:v>Red NAS</c:v>
                </c:pt>
                <c:pt idx="134">
                  <c:v>Red NAS</c:v>
                </c:pt>
                <c:pt idx="135">
                  <c:v>Red NAS</c:v>
                </c:pt>
                <c:pt idx="136">
                  <c:v>Red NAS</c:v>
                </c:pt>
                <c:pt idx="137">
                  <c:v>Red NAS</c:v>
                </c:pt>
                <c:pt idx="138">
                  <c:v>Red NAS</c:v>
                </c:pt>
                <c:pt idx="139">
                  <c:v>Red NAS</c:v>
                </c:pt>
                <c:pt idx="140">
                  <c:v>Red NAS</c:v>
                </c:pt>
                <c:pt idx="141">
                  <c:v>RED NAS Pro</c:v>
                </c:pt>
                <c:pt idx="142">
                  <c:v>RED NAS Pro</c:v>
                </c:pt>
                <c:pt idx="143">
                  <c:v>RED NAS Pro</c:v>
                </c:pt>
                <c:pt idx="144">
                  <c:v>RED NAS Pro</c:v>
                </c:pt>
                <c:pt idx="145">
                  <c:v>RED NAS Pro</c:v>
                </c:pt>
                <c:pt idx="146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'Drive Table'!$F$3:$F$150</c:f>
              <c:numCache>
                <c:formatCode>0.00</c:formatCode>
                <c:ptCount val="148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2</c:v>
                </c:pt>
                <c:pt idx="12">
                  <c:v>4</c:v>
                </c:pt>
                <c:pt idx="13">
                  <c:v>5</c:v>
                </c:pt>
                <c:pt idx="14">
                  <c:v>6</c:v>
                </c:pt>
                <c:pt idx="15">
                  <c:v>8</c:v>
                </c:pt>
                <c:pt idx="16">
                  <c:v>0.9</c:v>
                </c:pt>
                <c:pt idx="17">
                  <c:v>1.2</c:v>
                </c:pt>
                <c:pt idx="18">
                  <c:v>1.8</c:v>
                </c:pt>
                <c:pt idx="19">
                  <c:v>0.6</c:v>
                </c:pt>
                <c:pt idx="20">
                  <c:v>6</c:v>
                </c:pt>
                <c:pt idx="21">
                  <c:v>8</c:v>
                </c:pt>
                <c:pt idx="22">
                  <c:v>10</c:v>
                </c:pt>
                <c:pt idx="23">
                  <c:v>12</c:v>
                </c:pt>
                <c:pt idx="24">
                  <c:v>14</c:v>
                </c:pt>
                <c:pt idx="25">
                  <c:v>5</c:v>
                </c:pt>
                <c:pt idx="26">
                  <c:v>6</c:v>
                </c:pt>
                <c:pt idx="27">
                  <c:v>8</c:v>
                </c:pt>
                <c:pt idx="28">
                  <c:v>1</c:v>
                </c:pt>
                <c:pt idx="29">
                  <c:v>2</c:v>
                </c:pt>
                <c:pt idx="30">
                  <c:v>3</c:v>
                </c:pt>
                <c:pt idx="31">
                  <c:v>4</c:v>
                </c:pt>
                <c:pt idx="32">
                  <c:v>5</c:v>
                </c:pt>
                <c:pt idx="33">
                  <c:v>1</c:v>
                </c:pt>
                <c:pt idx="34">
                  <c:v>2</c:v>
                </c:pt>
                <c:pt idx="35">
                  <c:v>3</c:v>
                </c:pt>
                <c:pt idx="36">
                  <c:v>4</c:v>
                </c:pt>
                <c:pt idx="37">
                  <c:v>6</c:v>
                </c:pt>
                <c:pt idx="38">
                  <c:v>8</c:v>
                </c:pt>
                <c:pt idx="39">
                  <c:v>2</c:v>
                </c:pt>
                <c:pt idx="40">
                  <c:v>4</c:v>
                </c:pt>
                <c:pt idx="41">
                  <c:v>6</c:v>
                </c:pt>
                <c:pt idx="42">
                  <c:v>8</c:v>
                </c:pt>
                <c:pt idx="43">
                  <c:v>10</c:v>
                </c:pt>
                <c:pt idx="44">
                  <c:v>12</c:v>
                </c:pt>
                <c:pt idx="45">
                  <c:v>4</c:v>
                </c:pt>
                <c:pt idx="46">
                  <c:v>1.2</c:v>
                </c:pt>
                <c:pt idx="47">
                  <c:v>1.8</c:v>
                </c:pt>
                <c:pt idx="48">
                  <c:v>2.4</c:v>
                </c:pt>
                <c:pt idx="49">
                  <c:v>0.9</c:v>
                </c:pt>
                <c:pt idx="50">
                  <c:v>8</c:v>
                </c:pt>
                <c:pt idx="51">
                  <c:v>1</c:v>
                </c:pt>
                <c:pt idx="52">
                  <c:v>2</c:v>
                </c:pt>
                <c:pt idx="53">
                  <c:v>1</c:v>
                </c:pt>
                <c:pt idx="54">
                  <c:v>2</c:v>
                </c:pt>
                <c:pt idx="55">
                  <c:v>1</c:v>
                </c:pt>
                <c:pt idx="56">
                  <c:v>2</c:v>
                </c:pt>
                <c:pt idx="57">
                  <c:v>3</c:v>
                </c:pt>
                <c:pt idx="58">
                  <c:v>4</c:v>
                </c:pt>
                <c:pt idx="59">
                  <c:v>6</c:v>
                </c:pt>
                <c:pt idx="60">
                  <c:v>8</c:v>
                </c:pt>
                <c:pt idx="61">
                  <c:v>8</c:v>
                </c:pt>
                <c:pt idx="62">
                  <c:v>10</c:v>
                </c:pt>
                <c:pt idx="63">
                  <c:v>12</c:v>
                </c:pt>
                <c:pt idx="64">
                  <c:v>1</c:v>
                </c:pt>
                <c:pt idx="65">
                  <c:v>2</c:v>
                </c:pt>
                <c:pt idx="66">
                  <c:v>1</c:v>
                </c:pt>
                <c:pt idx="67">
                  <c:v>2</c:v>
                </c:pt>
                <c:pt idx="68">
                  <c:v>1</c:v>
                </c:pt>
                <c:pt idx="69">
                  <c:v>2</c:v>
                </c:pt>
                <c:pt idx="70">
                  <c:v>3</c:v>
                </c:pt>
                <c:pt idx="71">
                  <c:v>4</c:v>
                </c:pt>
                <c:pt idx="72">
                  <c:v>6</c:v>
                </c:pt>
                <c:pt idx="73">
                  <c:v>8</c:v>
                </c:pt>
                <c:pt idx="74">
                  <c:v>10</c:v>
                </c:pt>
                <c:pt idx="75">
                  <c:v>12</c:v>
                </c:pt>
                <c:pt idx="76">
                  <c:v>2</c:v>
                </c:pt>
                <c:pt idx="77">
                  <c:v>4</c:v>
                </c:pt>
                <c:pt idx="78">
                  <c:v>6</c:v>
                </c:pt>
                <c:pt idx="79">
                  <c:v>8</c:v>
                </c:pt>
                <c:pt idx="80">
                  <c:v>10</c:v>
                </c:pt>
                <c:pt idx="81">
                  <c:v>12</c:v>
                </c:pt>
                <c:pt idx="82">
                  <c:v>4</c:v>
                </c:pt>
                <c:pt idx="83">
                  <c:v>1</c:v>
                </c:pt>
                <c:pt idx="84">
                  <c:v>2</c:v>
                </c:pt>
                <c:pt idx="85">
                  <c:v>3</c:v>
                </c:pt>
                <c:pt idx="86">
                  <c:v>6</c:v>
                </c:pt>
                <c:pt idx="87">
                  <c:v>8</c:v>
                </c:pt>
                <c:pt idx="88">
                  <c:v>10</c:v>
                </c:pt>
                <c:pt idx="89">
                  <c:v>12</c:v>
                </c:pt>
                <c:pt idx="90">
                  <c:v>14</c:v>
                </c:pt>
                <c:pt idx="91">
                  <c:v>1.2</c:v>
                </c:pt>
                <c:pt idx="92">
                  <c:v>1.8</c:v>
                </c:pt>
                <c:pt idx="93">
                  <c:v>2.4</c:v>
                </c:pt>
                <c:pt idx="94">
                  <c:v>0.6</c:v>
                </c:pt>
                <c:pt idx="95">
                  <c:v>0.9</c:v>
                </c:pt>
                <c:pt idx="96">
                  <c:v>3</c:v>
                </c:pt>
                <c:pt idx="97">
                  <c:v>1</c:v>
                </c:pt>
                <c:pt idx="98">
                  <c:v>2</c:v>
                </c:pt>
                <c:pt idx="99">
                  <c:v>4</c:v>
                </c:pt>
                <c:pt idx="100">
                  <c:v>6</c:v>
                </c:pt>
                <c:pt idx="101">
                  <c:v>8</c:v>
                </c:pt>
                <c:pt idx="102">
                  <c:v>10</c:v>
                </c:pt>
                <c:pt idx="103">
                  <c:v>1</c:v>
                </c:pt>
                <c:pt idx="104">
                  <c:v>2</c:v>
                </c:pt>
                <c:pt idx="105">
                  <c:v>3</c:v>
                </c:pt>
                <c:pt idx="106">
                  <c:v>4</c:v>
                </c:pt>
                <c:pt idx="107">
                  <c:v>5</c:v>
                </c:pt>
                <c:pt idx="108">
                  <c:v>6</c:v>
                </c:pt>
                <c:pt idx="109">
                  <c:v>8</c:v>
                </c:pt>
                <c:pt idx="110">
                  <c:v>10</c:v>
                </c:pt>
                <c:pt idx="111">
                  <c:v>6</c:v>
                </c:pt>
                <c:pt idx="112">
                  <c:v>1</c:v>
                </c:pt>
                <c:pt idx="113">
                  <c:v>1</c:v>
                </c:pt>
                <c:pt idx="114">
                  <c:v>2</c:v>
                </c:pt>
                <c:pt idx="115">
                  <c:v>4</c:v>
                </c:pt>
                <c:pt idx="116">
                  <c:v>6</c:v>
                </c:pt>
                <c:pt idx="117">
                  <c:v>1</c:v>
                </c:pt>
                <c:pt idx="118">
                  <c:v>2</c:v>
                </c:pt>
                <c:pt idx="119">
                  <c:v>1</c:v>
                </c:pt>
                <c:pt idx="120">
                  <c:v>2</c:v>
                </c:pt>
                <c:pt idx="121">
                  <c:v>3</c:v>
                </c:pt>
                <c:pt idx="122">
                  <c:v>4</c:v>
                </c:pt>
                <c:pt idx="123">
                  <c:v>6</c:v>
                </c:pt>
                <c:pt idx="124">
                  <c:v>1</c:v>
                </c:pt>
                <c:pt idx="125">
                  <c:v>2</c:v>
                </c:pt>
                <c:pt idx="126">
                  <c:v>4</c:v>
                </c:pt>
                <c:pt idx="127">
                  <c:v>6</c:v>
                </c:pt>
                <c:pt idx="128">
                  <c:v>8</c:v>
                </c:pt>
                <c:pt idx="129">
                  <c:v>10</c:v>
                </c:pt>
                <c:pt idx="130">
                  <c:v>12</c:v>
                </c:pt>
                <c:pt idx="131">
                  <c:v>0.75</c:v>
                </c:pt>
                <c:pt idx="132">
                  <c:v>1</c:v>
                </c:pt>
                <c:pt idx="133">
                  <c:v>1</c:v>
                </c:pt>
                <c:pt idx="134">
                  <c:v>2</c:v>
                </c:pt>
                <c:pt idx="135">
                  <c:v>3</c:v>
                </c:pt>
                <c:pt idx="136">
                  <c:v>4</c:v>
                </c:pt>
                <c:pt idx="137">
                  <c:v>5</c:v>
                </c:pt>
                <c:pt idx="138">
                  <c:v>6</c:v>
                </c:pt>
                <c:pt idx="139">
                  <c:v>8</c:v>
                </c:pt>
                <c:pt idx="140">
                  <c:v>10</c:v>
                </c:pt>
                <c:pt idx="141">
                  <c:v>2</c:v>
                </c:pt>
                <c:pt idx="142">
                  <c:v>3</c:v>
                </c:pt>
                <c:pt idx="143">
                  <c:v>4</c:v>
                </c:pt>
                <c:pt idx="144">
                  <c:v>6</c:v>
                </c:pt>
                <c:pt idx="145">
                  <c:v>8</c:v>
                </c:pt>
                <c:pt idx="146">
                  <c:v>10</c:v>
                </c:pt>
                <c:pt idx="147">
                  <c:v>0.6</c:v>
                </c:pt>
              </c:numCache>
            </c:numRef>
          </c:xVal>
          <c:yVal>
            <c:numRef>
              <c:f>'Drive Table'!$X$3:$X$150</c:f>
              <c:numCache>
                <c:formatCode>"$"#,##0.00</c:formatCode>
                <c:ptCount val="148"/>
                <c:pt idx="0">
                  <c:v>24.997499999999999</c:v>
                </c:pt>
                <c:pt idx="1">
                  <c:v>26.331666666666667</c:v>
                </c:pt>
                <c:pt idx="2">
                  <c:v>27.498750000000001</c:v>
                </c:pt>
                <c:pt idx="3">
                  <c:v>28.999000000000002</c:v>
                </c:pt>
                <c:pt idx="4">
                  <c:v>48.99</c:v>
                </c:pt>
                <c:pt idx="5">
                  <c:v>58.75</c:v>
                </c:pt>
                <c:pt idx="6">
                  <c:v>53.9</c:v>
                </c:pt>
                <c:pt idx="7">
                  <c:v>60.69</c:v>
                </c:pt>
                <c:pt idx="8">
                  <c:v>60.445</c:v>
                </c:pt>
                <c:pt idx="9">
                  <c:v>56.666666666666664</c:v>
                </c:pt>
                <c:pt idx="10">
                  <c:v>29.897500000000001</c:v>
                </c:pt>
                <c:pt idx="11">
                  <c:v>77.105000000000004</c:v>
                </c:pt>
                <c:pt idx="12">
                  <c:v>48.712499999999999</c:v>
                </c:pt>
                <c:pt idx="13">
                  <c:v>56.391999999999996</c:v>
                </c:pt>
                <c:pt idx="14">
                  <c:v>46.95333333333334</c:v>
                </c:pt>
                <c:pt idx="15">
                  <c:v>46.625</c:v>
                </c:pt>
                <c:pt idx="16">
                  <c:v>144.43333333333334</c:v>
                </c:pt>
                <c:pt idx="17">
                  <c:v>141.66666666666669</c:v>
                </c:pt>
                <c:pt idx="18">
                  <c:v>111.10555555555555</c:v>
                </c:pt>
                <c:pt idx="19">
                  <c:v>283.31666666666672</c:v>
                </c:pt>
                <c:pt idx="20">
                  <c:v>54.425000000000004</c:v>
                </c:pt>
                <c:pt idx="21">
                  <c:v>41.323749999999997</c:v>
                </c:pt>
                <c:pt idx="22">
                  <c:v>34.456000000000003</c:v>
                </c:pt>
                <c:pt idx="23">
                  <c:v>35.832500000000003</c:v>
                </c:pt>
                <c:pt idx="24">
                  <c:v>46.428571428571431</c:v>
                </c:pt>
                <c:pt idx="25">
                  <c:v>42.4</c:v>
                </c:pt>
                <c:pt idx="26">
                  <c:v>32.464999999999996</c:v>
                </c:pt>
                <c:pt idx="27">
                  <c:v>27.734999999999999</c:v>
                </c:pt>
                <c:pt idx="28">
                  <c:v>41.99</c:v>
                </c:pt>
                <c:pt idx="29">
                  <c:v>34.994999999999997</c:v>
                </c:pt>
                <c:pt idx="30">
                  <c:v>43.330000000000005</c:v>
                </c:pt>
                <c:pt idx="31">
                  <c:v>39.272500000000001</c:v>
                </c:pt>
                <c:pt idx="32">
                  <c:v>39.244</c:v>
                </c:pt>
                <c:pt idx="33">
                  <c:v>39.99</c:v>
                </c:pt>
                <c:pt idx="34">
                  <c:v>26.995000000000001</c:v>
                </c:pt>
                <c:pt idx="35">
                  <c:v>23.33</c:v>
                </c:pt>
                <c:pt idx="36">
                  <c:v>22.497499999999999</c:v>
                </c:pt>
                <c:pt idx="37">
                  <c:v>23.498333333333335</c:v>
                </c:pt>
                <c:pt idx="38">
                  <c:v>23.373750000000001</c:v>
                </c:pt>
                <c:pt idx="39">
                  <c:v>55.185000000000002</c:v>
                </c:pt>
                <c:pt idx="40">
                  <c:v>43.747500000000002</c:v>
                </c:pt>
                <c:pt idx="41">
                  <c:v>26.331666666666667</c:v>
                </c:pt>
                <c:pt idx="42">
                  <c:v>34.078749999999999</c:v>
                </c:pt>
                <c:pt idx="43">
                  <c:v>36.683999999999997</c:v>
                </c:pt>
                <c:pt idx="44">
                  <c:v>36.665833333333332</c:v>
                </c:pt>
                <c:pt idx="45">
                  <c:v>33.747500000000002</c:v>
                </c:pt>
                <c:pt idx="46">
                  <c:v>246.625</c:v>
                </c:pt>
                <c:pt idx="47">
                  <c:v>211.10555555555555</c:v>
                </c:pt>
                <c:pt idx="48">
                  <c:v>201.90416666666667</c:v>
                </c:pt>
                <c:pt idx="49">
                  <c:v>463.28888888888883</c:v>
                </c:pt>
                <c:pt idx="50">
                  <c:v>35.248750000000001</c:v>
                </c:pt>
                <c:pt idx="51">
                  <c:v>165</c:v>
                </c:pt>
                <c:pt idx="52">
                  <c:v>153.30000000000001</c:v>
                </c:pt>
                <c:pt idx="53">
                  <c:v>176.27</c:v>
                </c:pt>
                <c:pt idx="54">
                  <c:v>135</c:v>
                </c:pt>
                <c:pt idx="55">
                  <c:v>89.47</c:v>
                </c:pt>
                <c:pt idx="56">
                  <c:v>59.994999999999997</c:v>
                </c:pt>
                <c:pt idx="57">
                  <c:v>58.293333333333329</c:v>
                </c:pt>
                <c:pt idx="58">
                  <c:v>50.942500000000003</c:v>
                </c:pt>
                <c:pt idx="59">
                  <c:v>31.844999999999999</c:v>
                </c:pt>
                <c:pt idx="60">
                  <c:v>32.498750000000001</c:v>
                </c:pt>
                <c:pt idx="61">
                  <c:v>40.623750000000001</c:v>
                </c:pt>
                <c:pt idx="62">
                  <c:v>34.85</c:v>
                </c:pt>
                <c:pt idx="63">
                  <c:v>47.285833333333329</c:v>
                </c:pt>
                <c:pt idx="64">
                  <c:v>52.99</c:v>
                </c:pt>
                <c:pt idx="65">
                  <c:v>37.494999999999997</c:v>
                </c:pt>
                <c:pt idx="66">
                  <c:v>63.99</c:v>
                </c:pt>
                <c:pt idx="67">
                  <c:v>34.994999999999997</c:v>
                </c:pt>
                <c:pt idx="68">
                  <c:v>59.99</c:v>
                </c:pt>
                <c:pt idx="69">
                  <c:v>33.994999999999997</c:v>
                </c:pt>
                <c:pt idx="70">
                  <c:v>34.136666666666663</c:v>
                </c:pt>
                <c:pt idx="71">
                  <c:v>27.497499999999999</c:v>
                </c:pt>
                <c:pt idx="72">
                  <c:v>27.998333333333335</c:v>
                </c:pt>
                <c:pt idx="73">
                  <c:v>30.932500000000001</c:v>
                </c:pt>
                <c:pt idx="74">
                  <c:v>27.999000000000002</c:v>
                </c:pt>
                <c:pt idx="75">
                  <c:v>32.499166666666667</c:v>
                </c:pt>
                <c:pt idx="76">
                  <c:v>64.995000000000005</c:v>
                </c:pt>
                <c:pt idx="77">
                  <c:v>43.747500000000002</c:v>
                </c:pt>
                <c:pt idx="78">
                  <c:v>26.831666666666667</c:v>
                </c:pt>
                <c:pt idx="79">
                  <c:v>36.248750000000001</c:v>
                </c:pt>
                <c:pt idx="80">
                  <c:v>33.499000000000002</c:v>
                </c:pt>
                <c:pt idx="81">
                  <c:v>37.830833333333338</c:v>
                </c:pt>
                <c:pt idx="82">
                  <c:v>44.03</c:v>
                </c:pt>
                <c:pt idx="83">
                  <c:v>39.99</c:v>
                </c:pt>
                <c:pt idx="84">
                  <c:v>27.495000000000001</c:v>
                </c:pt>
                <c:pt idx="85">
                  <c:v>32.223333333333336</c:v>
                </c:pt>
                <c:pt idx="86">
                  <c:v>34</c:v>
                </c:pt>
                <c:pt idx="87">
                  <c:v>32.498750000000001</c:v>
                </c:pt>
                <c:pt idx="88">
                  <c:v>54.067999999999998</c:v>
                </c:pt>
                <c:pt idx="89">
                  <c:v>0</c:v>
                </c:pt>
                <c:pt idx="90">
                  <c:v>0</c:v>
                </c:pt>
                <c:pt idx="91">
                  <c:v>241.65833333333336</c:v>
                </c:pt>
                <c:pt idx="92">
                  <c:v>222.21666666666667</c:v>
                </c:pt>
                <c:pt idx="93">
                  <c:v>0</c:v>
                </c:pt>
                <c:pt idx="94">
                  <c:v>499.98333333333335</c:v>
                </c:pt>
                <c:pt idx="95">
                  <c:v>166.66666666666666</c:v>
                </c:pt>
                <c:pt idx="96">
                  <c:v>42.896666666666668</c:v>
                </c:pt>
                <c:pt idx="97">
                  <c:v>44.99</c:v>
                </c:pt>
                <c:pt idx="98">
                  <c:v>48.515000000000001</c:v>
                </c:pt>
                <c:pt idx="99">
                  <c:v>24.997499999999999</c:v>
                </c:pt>
                <c:pt idx="100">
                  <c:v>31.665000000000003</c:v>
                </c:pt>
                <c:pt idx="101">
                  <c:v>30.625</c:v>
                </c:pt>
                <c:pt idx="102">
                  <c:v>0</c:v>
                </c:pt>
                <c:pt idx="103">
                  <c:v>39.99</c:v>
                </c:pt>
                <c:pt idx="104">
                  <c:v>24.495000000000001</c:v>
                </c:pt>
                <c:pt idx="105">
                  <c:v>21.66333333333333</c:v>
                </c:pt>
                <c:pt idx="106">
                  <c:v>23.372499999999999</c:v>
                </c:pt>
                <c:pt idx="107">
                  <c:v>21.997999999999998</c:v>
                </c:pt>
                <c:pt idx="108">
                  <c:v>26.665000000000003</c:v>
                </c:pt>
                <c:pt idx="109">
                  <c:v>30.298749999999998</c:v>
                </c:pt>
                <c:pt idx="110">
                  <c:v>37.46</c:v>
                </c:pt>
                <c:pt idx="111">
                  <c:v>39.333333333333336</c:v>
                </c:pt>
                <c:pt idx="112">
                  <c:v>59.99</c:v>
                </c:pt>
                <c:pt idx="113">
                  <c:v>54.99</c:v>
                </c:pt>
                <c:pt idx="114">
                  <c:v>49.994999999999997</c:v>
                </c:pt>
                <c:pt idx="115">
                  <c:v>45.747500000000002</c:v>
                </c:pt>
                <c:pt idx="116">
                  <c:v>34.999166666666667</c:v>
                </c:pt>
                <c:pt idx="117">
                  <c:v>44.99</c:v>
                </c:pt>
                <c:pt idx="118">
                  <c:v>68.125</c:v>
                </c:pt>
                <c:pt idx="119">
                  <c:v>44.99</c:v>
                </c:pt>
                <c:pt idx="120">
                  <c:v>27.495000000000001</c:v>
                </c:pt>
                <c:pt idx="121">
                  <c:v>30.66333333333333</c:v>
                </c:pt>
                <c:pt idx="122">
                  <c:v>26.247499999999999</c:v>
                </c:pt>
                <c:pt idx="123">
                  <c:v>29.498333333333335</c:v>
                </c:pt>
                <c:pt idx="124">
                  <c:v>72.995000000000005</c:v>
                </c:pt>
                <c:pt idx="125">
                  <c:v>54.994999999999997</c:v>
                </c:pt>
                <c:pt idx="126">
                  <c:v>41.247500000000002</c:v>
                </c:pt>
                <c:pt idx="127">
                  <c:v>37.498333333333335</c:v>
                </c:pt>
                <c:pt idx="128">
                  <c:v>40.611249999999998</c:v>
                </c:pt>
                <c:pt idx="129">
                  <c:v>38.499000000000002</c:v>
                </c:pt>
                <c:pt idx="130">
                  <c:v>41.583333333333336</c:v>
                </c:pt>
                <c:pt idx="131">
                  <c:v>82.626666666666665</c:v>
                </c:pt>
                <c:pt idx="132">
                  <c:v>72.23</c:v>
                </c:pt>
                <c:pt idx="133">
                  <c:v>62</c:v>
                </c:pt>
                <c:pt idx="134">
                  <c:v>41.994999999999997</c:v>
                </c:pt>
                <c:pt idx="135">
                  <c:v>34.33</c:v>
                </c:pt>
                <c:pt idx="136">
                  <c:v>29.497499999999999</c:v>
                </c:pt>
                <c:pt idx="137">
                  <c:v>49.798000000000002</c:v>
                </c:pt>
                <c:pt idx="138">
                  <c:v>28.8325</c:v>
                </c:pt>
                <c:pt idx="139">
                  <c:v>34.373750000000001</c:v>
                </c:pt>
                <c:pt idx="140">
                  <c:v>32.499000000000002</c:v>
                </c:pt>
                <c:pt idx="141">
                  <c:v>54.994999999999997</c:v>
                </c:pt>
                <c:pt idx="142">
                  <c:v>77.963333333333324</c:v>
                </c:pt>
                <c:pt idx="143">
                  <c:v>48.497500000000002</c:v>
                </c:pt>
                <c:pt idx="144">
                  <c:v>38.164999999999999</c:v>
                </c:pt>
                <c:pt idx="145">
                  <c:v>42.661250000000003</c:v>
                </c:pt>
                <c:pt idx="146">
                  <c:v>36.999000000000002</c:v>
                </c:pt>
                <c:pt idx="147" formatCode="_(&quot;$&quot;* #,##0.00_);_(&quot;$&quot;* \(#,##0.00\);_(&quot;$&quot;* &quot;-&quot;??_);_(@_)">
                  <c:v>21.66333333333333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64069760"/>
        <c:axId val="164071680"/>
      </c:scatterChart>
      <c:valAx>
        <c:axId val="164069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Terabytes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071680"/>
        <c:crosses val="autoZero"/>
        <c:crossBetween val="midCat"/>
      </c:valAx>
      <c:valAx>
        <c:axId val="164071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0697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633" l="0.70000000000000062" r="0.70000000000000062" t="0.75000000000000633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508000</xdr:colOff>
      <xdr:row>0</xdr:row>
      <xdr:rowOff>98425</xdr:rowOff>
    </xdr:from>
    <xdr:to>
      <xdr:col>12</xdr:col>
      <xdr:colOff>495300</xdr:colOff>
      <xdr:row>14</xdr:row>
      <xdr:rowOff>165100</xdr:rowOff>
    </xdr:to>
    <xdr:graphicFrame macro="">
      <xdr:nvGraphicFramePr>
        <xdr:cNvPr id="2" name="NASAvgByTB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512762</xdr:colOff>
      <xdr:row>19</xdr:row>
      <xdr:rowOff>26987</xdr:rowOff>
    </xdr:from>
    <xdr:to>
      <xdr:col>12</xdr:col>
      <xdr:colOff>500062</xdr:colOff>
      <xdr:row>33</xdr:row>
      <xdr:rowOff>103187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517525</xdr:colOff>
      <xdr:row>36</xdr:row>
      <xdr:rowOff>28575</xdr:rowOff>
    </xdr:from>
    <xdr:to>
      <xdr:col>12</xdr:col>
      <xdr:colOff>504825</xdr:colOff>
      <xdr:row>50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522287</xdr:colOff>
      <xdr:row>55</xdr:row>
      <xdr:rowOff>87312</xdr:rowOff>
    </xdr:from>
    <xdr:to>
      <xdr:col>12</xdr:col>
      <xdr:colOff>509587</xdr:colOff>
      <xdr:row>69</xdr:row>
      <xdr:rowOff>134937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320676</xdr:colOff>
      <xdr:row>76</xdr:row>
      <xdr:rowOff>3174</xdr:rowOff>
    </xdr:from>
    <xdr:to>
      <xdr:col>12</xdr:col>
      <xdr:colOff>506413</xdr:colOff>
      <xdr:row>93</xdr:row>
      <xdr:rowOff>155575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Author" refreshedDate="43334.747007060185" createdVersion="6" refreshedVersion="6" minRefreshableVersion="3" recordCount="147" xr:uid="{00000000-000A-0000-FFFF-FFFF3B000000}">
  <cacheSource type="worksheet">
    <worksheetSource name="Table5" r:id="rId2"/>
  </cacheSource>
  <cacheFields count="31">
    <cacheField name="Date" numFmtId="14">
      <sharedItems containsSemiMixedTypes="0" containsNonDate="0" containsDate="1" containsString="0" minDate="2017-10-19T00:00:00" maxDate="2018-08-23T00:00:00"/>
    </cacheField>
    <cacheField name="Manu" numFmtId="0">
      <sharedItems count="4">
        <s v="HGST"/>
        <s v="Seagate"/>
        <s v="Toshiba"/>
        <s v="WD"/>
      </sharedItems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3"/>
        <n v="5"/>
        <n v="0.9"/>
        <n v="1.2"/>
        <n v="1.8"/>
        <n v="0.6"/>
        <n v="12"/>
        <n v="14"/>
        <n v="2.4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 count="9">
        <n v="7200"/>
        <n v="5400"/>
        <n v="10520"/>
        <n v="15030"/>
        <n v="5900"/>
        <n v="10500"/>
        <n v="15000"/>
        <n v="5760"/>
        <n v="10000" u="1"/>
      </sharedItems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Warranty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 count="7">
        <n v="1000000"/>
        <m/>
        <n v="2000000"/>
        <n v="2500000"/>
        <n v="800000"/>
        <n v="1200000"/>
        <n v="500000"/>
      </sharedItems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4"/>
    </cacheField>
    <cacheField name="Watts Idle" numFmtId="2">
      <sharedItems containsString="0" containsBlank="1" containsNumber="1" minValue="0.45" maxValue="8.15"/>
    </cacheField>
    <cacheField name="WattsStandby" numFmtId="168">
      <sharedItems containsString="0" containsBlank="1" containsNumber="1" minValue="0.1" maxValue="4.88"/>
    </cacheField>
    <cacheField name="Energy$year" numFmtId="8">
      <sharedItems containsMixedTypes="1" containsNumber="1" minValue="0" maxValue="9.2917056000000002"/>
    </cacheField>
    <cacheField name="Energy$yearPerTB" numFmtId="8">
      <sharedItems containsMixedTypes="1" containsNumber="1" minValue="0" maxValue="11.468536"/>
    </cacheField>
    <cacheField name="Cost" numFmtId="0">
      <sharedItems containsString="0" containsBlank="1" containsNumber="1" minValue="39.99" maxValue="650"/>
    </cacheField>
    <cacheField name="$ TB" numFmtId="164">
      <sharedItems containsMixedTypes="1" containsNumber="1" minValue="21.66333333333333" maxValue="499.98333333333335"/>
    </cacheField>
    <cacheField name="$+Warr" numFmtId="164">
      <sharedItems containsSemiMixedTypes="0" containsString="0" containsNumber="1" minValue="0" maxValue="650"/>
    </cacheField>
    <cacheField name="$PerTB" numFmtId="164">
      <sharedItems containsMixedTypes="1" containsNumber="1" minValue="26.331666666666667" maxValue="499.98333333333335"/>
    </cacheField>
    <cacheField name="$ TB/year" numFmtId="164">
      <sharedItems containsMixedTypes="1" containsNumber="1" minValue="5.2663333333333338" maxValue="99.99666666666667"/>
    </cacheField>
    <cacheField name="$TB/Yr+Power" numFmtId="164">
      <sharedItems containsMixedTypes="1" containsNumber="1" minValue="6.6469405333333338" maxValue="111.46520266666667"/>
    </cacheField>
    <cacheField name="DBA_Idle" numFmtId="0">
      <sharedItems containsBlank="1" containsMixedTypes="1" containsNumber="1" containsInteger="1" minValue="20" maxValue="34"/>
    </cacheField>
    <cacheField name="DBA_Seek" numFmtId="1">
      <sharedItems containsString="0" containsBlank="1" containsNumber="1" containsInteger="1" minValue="22" maxValue="36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Author" refreshedDate="43334.74700787037" createdVersion="6" refreshedVersion="6" minRefreshableVersion="3" recordCount="142" xr:uid="{00000000-000A-0000-FFFF-FFFF1B000000}">
  <cacheSource type="worksheet">
    <worksheetSource ref="A2:AA144" sheet="Drive Table" r:id="rId2"/>
  </cacheSource>
  <cacheFields count="27">
    <cacheField name="Date" numFmtId="14">
      <sharedItems containsSemiMixedTypes="0" containsNonDate="0" containsDate="1" containsString="0" minDate="2017-10-19T00:00:00" maxDate="2018-08-23T00:00:00"/>
    </cacheField>
    <cacheField name="Manu" numFmtId="0">
      <sharedItems/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3"/>
        <n v="5"/>
        <n v="0.9"/>
        <n v="1.2"/>
        <n v="1.8"/>
        <n v="0.6"/>
        <n v="12"/>
        <n v="14"/>
        <n v="2.4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/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Warranty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/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4"/>
    </cacheField>
    <cacheField name="Watts Idle" numFmtId="2">
      <sharedItems containsString="0" containsBlank="1" containsNumber="1" minValue="0.45" maxValue="8.15"/>
    </cacheField>
    <cacheField name="WattsStandby" numFmtId="168">
      <sharedItems containsString="0" containsBlank="1" containsNumber="1" minValue="0.1" maxValue="4.88"/>
    </cacheField>
    <cacheField name="Energy$year" numFmtId="8">
      <sharedItems containsMixedTypes="1" containsNumber="1" minValue="0" maxValue="9.2917056000000002"/>
    </cacheField>
    <cacheField name="Energy$yearPerTB" numFmtId="8">
      <sharedItems containsMixedTypes="1" containsNumber="1" minValue="0" maxValue="11.468536"/>
    </cacheField>
    <cacheField name="Cost" numFmtId="0">
      <sharedItems containsString="0" containsBlank="1" containsNumber="1" minValue="39.99" maxValue="650"/>
    </cacheField>
    <cacheField name="$ TB" numFmtId="164">
      <sharedItems containsMixedTypes="1" containsNumber="1" minValue="21.66333333333333" maxValue="499.98333333333335"/>
    </cacheField>
    <cacheField name="$+Warr" numFmtId="164">
      <sharedItems containsSemiMixedTypes="0" containsString="0" containsNumber="1" minValue="0" maxValue="650"/>
    </cacheField>
    <cacheField name="$PerTB" numFmtId="164">
      <sharedItems containsMixedTypes="1" containsNumber="1" minValue="26.331666666666667" maxValue="499.98333333333335"/>
    </cacheField>
    <cacheField name="$ TB/year" numFmtId="164">
      <sharedItems containsMixedTypes="1" containsNumber="1" minValue="5.2663333333333338" maxValue="99.9966666666666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7">
  <r>
    <d v="2018-08-08T00:00:00"/>
    <x v="0"/>
    <s v="Deskstar NAS"/>
    <x v="0"/>
    <x v="0"/>
    <x v="0"/>
    <x v="0"/>
    <m/>
    <n v="11.99"/>
    <n v="0.33333333333333326"/>
    <n v="202"/>
    <n v="3"/>
    <n v="600000"/>
    <m/>
    <x v="0"/>
    <n v="100000000000000"/>
    <n v="30"/>
    <m/>
    <n v="7.3"/>
    <m/>
    <s v=""/>
    <s v=""/>
    <n v="99.99"/>
    <n v="24.997499999999999"/>
    <n v="121.98779999999999"/>
    <n v="30.496949999999998"/>
    <n v="6.0993899999999996"/>
    <s v=""/>
    <n v="29"/>
    <m/>
    <s v="Enterprise HGST drives are now"/>
  </r>
  <r>
    <d v="2018-08-09T00:00:00"/>
    <x v="0"/>
    <s v="Deskstar NAS"/>
    <x v="0"/>
    <x v="0"/>
    <x v="1"/>
    <x v="0"/>
    <m/>
    <n v="11.99"/>
    <n v="0.33333333333333326"/>
    <n v="227"/>
    <n v="3"/>
    <n v="600000"/>
    <m/>
    <x v="0"/>
    <n v="100000000000000"/>
    <n v="30"/>
    <m/>
    <n v="7.3"/>
    <m/>
    <s v=""/>
    <s v=""/>
    <n v="157.99"/>
    <n v="26.331666666666667"/>
    <n v="192.74780000000001"/>
    <n v="32.124633333333335"/>
    <n v="6.4249266666666669"/>
    <s v=""/>
    <n v="29"/>
    <m/>
    <s v="owned by WD"/>
  </r>
  <r>
    <d v="2018-07-20T00:00:00"/>
    <x v="0"/>
    <s v="Deskstar NAS"/>
    <x v="0"/>
    <x v="0"/>
    <x v="2"/>
    <x v="0"/>
    <m/>
    <n v="11.99"/>
    <n v="0.33333333333333326"/>
    <n v="205"/>
    <n v="3"/>
    <n v="600000"/>
    <m/>
    <x v="0"/>
    <n v="100000000000000"/>
    <n v="30"/>
    <m/>
    <n v="5.0999999999999996"/>
    <m/>
    <s v=""/>
    <s v=""/>
    <n v="219.99"/>
    <n v="27.498750000000001"/>
    <n v="268.38780000000003"/>
    <n v="33.548475000000003"/>
    <n v="6.7096950000000009"/>
    <s v=""/>
    <n v="29"/>
    <m/>
    <m/>
  </r>
  <r>
    <d v="2018-08-22T00:00:00"/>
    <x v="0"/>
    <s v="Deskstar NAS"/>
    <x v="0"/>
    <x v="0"/>
    <x v="3"/>
    <x v="0"/>
    <m/>
    <n v="11.99"/>
    <n v="0.33333333333333326"/>
    <n v="240"/>
    <n v="3"/>
    <n v="600000"/>
    <m/>
    <x v="0"/>
    <n v="100000000000000"/>
    <n v="30"/>
    <m/>
    <n v="5.0999999999999996"/>
    <m/>
    <s v=""/>
    <s v=""/>
    <n v="289.99"/>
    <n v="28.999000000000002"/>
    <n v="353.7878"/>
    <n v="35.378779999999999"/>
    <n v="7.0757560000000002"/>
    <s v=""/>
    <n v="29"/>
    <m/>
    <m/>
  </r>
  <r>
    <d v="2018-07-17T00:00:00"/>
    <x v="0"/>
    <s v="Travelstar 5K1000"/>
    <x v="1"/>
    <x v="1"/>
    <x v="4"/>
    <x v="1"/>
    <n v="5.5"/>
    <n v="12"/>
    <n v="0"/>
    <n v="99"/>
    <n v="3"/>
    <n v="600000"/>
    <m/>
    <x v="1"/>
    <m/>
    <n v="4.5"/>
    <n v="1.6"/>
    <n v="0.8"/>
    <n v="0.2"/>
    <n v="1.0518912"/>
    <n v="1.0518912"/>
    <n v="48.99"/>
    <n v="48.99"/>
    <n v="59.767800000000001"/>
    <n v="59.767800000000001"/>
    <n v="11.95356"/>
    <n v="13.0054512"/>
    <m/>
    <m/>
    <m/>
  </r>
  <r>
    <d v="2018-07-17T00:00:00"/>
    <x v="0"/>
    <s v="Travelstar 7K1000"/>
    <x v="1"/>
    <x v="1"/>
    <x v="4"/>
    <x v="0"/>
    <n v="4.2"/>
    <n v="12"/>
    <n v="0.33333333333333326"/>
    <n v="128"/>
    <n v="3"/>
    <n v="600000"/>
    <m/>
    <x v="1"/>
    <m/>
    <n v="5.5"/>
    <n v="2.7"/>
    <n v="2"/>
    <n v="0.2"/>
    <n v="2.3448408000000001"/>
    <n v="2.3448408000000001"/>
    <n v="58.75"/>
    <n v="58.75"/>
    <n v="71.674999999999997"/>
    <n v="71.674999999999997"/>
    <n v="14.334999999999999"/>
    <n v="16.679840800000001"/>
    <m/>
    <m/>
    <m/>
  </r>
  <r>
    <d v="2017-12-25T00:00:00"/>
    <x v="0"/>
    <s v="Ultrastar 7K2000"/>
    <x v="0"/>
    <x v="0"/>
    <x v="4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6.9468648000000002"/>
    <n v="53.9"/>
    <n v="53.9"/>
    <n v="53.9"/>
    <n v="53.9"/>
    <n v="10.78"/>
    <n v="17.726864800000001"/>
    <m/>
    <m/>
    <m/>
  </r>
  <r>
    <d v="2017-12-25T00:00:00"/>
    <x v="0"/>
    <s v="Ultrastar 7K2000"/>
    <x v="0"/>
    <x v="0"/>
    <x v="5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3.4734324000000001"/>
    <n v="121.38"/>
    <n v="60.69"/>
    <n v="121.38"/>
    <n v="60.69"/>
    <n v="12.138"/>
    <n v="15.6114324"/>
    <m/>
    <m/>
    <m/>
  </r>
  <r>
    <d v="2018-07-17T00:00:00"/>
    <x v="0"/>
    <s v="Ultrastar 7K4000"/>
    <x v="0"/>
    <x v="0"/>
    <x v="5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4.2733080000000001"/>
    <n v="120.89"/>
    <n v="60.445"/>
    <n v="120.89"/>
    <n v="60.445"/>
    <n v="12.089"/>
    <n v="16.362307999999999"/>
    <m/>
    <m/>
    <m/>
  </r>
  <r>
    <d v="2018-07-03T00:00:00"/>
    <x v="0"/>
    <s v="Ultrastar 7K4000"/>
    <x v="0"/>
    <x v="0"/>
    <x v="6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8488720000000001"/>
    <n v="170"/>
    <n v="56.666666666666664"/>
    <n v="170"/>
    <n v="56.666666666666664"/>
    <n v="11.333333333333332"/>
    <n v="14.182205333333332"/>
    <m/>
    <m/>
    <m/>
  </r>
  <r>
    <d v="2018-07-17T00:00:00"/>
    <x v="0"/>
    <s v="Ultrastar 7K4000"/>
    <x v="0"/>
    <x v="0"/>
    <x v="0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1366540000000001"/>
    <n v="119.59"/>
    <n v="29.897500000000001"/>
    <n v="119.59"/>
    <n v="29.897500000000001"/>
    <n v="5.9794999999999998"/>
    <n v="8.1161539999999999"/>
    <m/>
    <m/>
    <m/>
  </r>
  <r>
    <d v="2018-07-17T00:00:00"/>
    <x v="0"/>
    <s v="Ultrastar 7K6000"/>
    <x v="0"/>
    <x v="0"/>
    <x v="5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4.1089500000000001"/>
    <n v="154.21"/>
    <n v="77.105000000000004"/>
    <n v="154.21"/>
    <n v="77.105000000000004"/>
    <n v="15.421000000000001"/>
    <n v="19.529949999999999"/>
    <n v="29"/>
    <n v="36"/>
    <m/>
  </r>
  <r>
    <d v="2017-11-14T00:00:00"/>
    <x v="0"/>
    <s v="Ultrastar 7K6000"/>
    <x v="0"/>
    <x v="0"/>
    <x v="0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  <n v="11.796975"/>
    <n v="29"/>
    <n v="36"/>
    <m/>
  </r>
  <r>
    <d v="2017-11-14T00:00:00"/>
    <x v="0"/>
    <s v="Ultrastar 7K6000"/>
    <x v="0"/>
    <x v="0"/>
    <x v="7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  <n v="12.92198"/>
    <n v="29"/>
    <n v="36"/>
    <m/>
  </r>
  <r>
    <d v="2018-03-20T00:00:00"/>
    <x v="0"/>
    <s v="Ultrastar 7K6000"/>
    <x v="0"/>
    <x v="0"/>
    <x v="1"/>
    <x v="0"/>
    <n v="4.16"/>
    <n v="8"/>
    <n v="0.33333333333333326"/>
    <n v="216"/>
    <n v="5"/>
    <n v="600000"/>
    <m/>
    <x v="2"/>
    <n v="1000000000000000"/>
    <m/>
    <n v="9.1"/>
    <n v="7.1"/>
    <m/>
    <n v="8.2179000000000002"/>
    <n v="1.36965"/>
    <n v="281.72000000000003"/>
    <n v="46.95333333333334"/>
    <n v="281.72000000000003"/>
    <n v="46.95333333333334"/>
    <n v="9.390666666666668"/>
    <n v="10.760316666666668"/>
    <n v="29"/>
    <n v="36"/>
    <m/>
  </r>
  <r>
    <d v="2017-10-25T00:00:00"/>
    <x v="0"/>
    <s v="Ultrastar Archive Ha10"/>
    <x v="2"/>
    <x v="0"/>
    <x v="2"/>
    <x v="0"/>
    <n v="4.16"/>
    <n v="8.5"/>
    <n v="0.33333333333333326"/>
    <n v="157"/>
    <n v="5"/>
    <n v="600000"/>
    <m/>
    <x v="2"/>
    <n v="1000000000000000"/>
    <m/>
    <n v="7.6"/>
    <n v="5.0999999999999996"/>
    <m/>
    <n v="6.1360319999999993"/>
    <n v="0.76700399999999991"/>
    <n v="373"/>
    <n v="46.625"/>
    <n v="373"/>
    <n v="46.625"/>
    <n v="9.3249999999999993"/>
    <n v="10.092003999999999"/>
    <m/>
    <m/>
    <s v="Helium filled, Shingled (SMR)"/>
  </r>
  <r>
    <d v="2018-01-14T00:00:00"/>
    <x v="0"/>
    <s v="Ultrastar C10K900"/>
    <x v="0"/>
    <x v="1"/>
    <x v="8"/>
    <x v="2"/>
    <n v="2.85"/>
    <n v="8.5"/>
    <n v="0.94814814814814818"/>
    <n v="224"/>
    <n v="5"/>
    <m/>
    <m/>
    <x v="2"/>
    <n v="1E+16"/>
    <m/>
    <n v="6.5"/>
    <n v="4.7"/>
    <m/>
    <n v="5.5443432000000001"/>
    <n v="6.1603813333333335"/>
    <n v="129.99"/>
    <n v="144.43333333333334"/>
    <n v="129.99"/>
    <n v="144.43333333333334"/>
    <n v="28.886666666666667"/>
    <n v="35.047048000000004"/>
    <m/>
    <m/>
    <m/>
  </r>
  <r>
    <d v="2018-01-14T00:00:00"/>
    <x v="0"/>
    <s v="Ultrastar C10K1200"/>
    <x v="0"/>
    <x v="1"/>
    <x v="9"/>
    <x v="2"/>
    <n v="2.85"/>
    <n v="8.5"/>
    <n v="0.94814814814814818"/>
    <n v="224"/>
    <n v="5"/>
    <m/>
    <m/>
    <x v="2"/>
    <n v="1E+16"/>
    <m/>
    <n v="6.5"/>
    <n v="4.7"/>
    <m/>
    <n v="5.5443432000000001"/>
    <n v="4.6202860000000001"/>
    <n v="170"/>
    <n v="141.66666666666669"/>
    <n v="170"/>
    <n v="141.66666666666669"/>
    <n v="28.333333333333336"/>
    <n v="32.953619333333336"/>
    <m/>
    <m/>
    <m/>
  </r>
  <r>
    <d v="2018-01-14T00:00:00"/>
    <x v="0"/>
    <s v="Ultrastar C10K1800"/>
    <x v="0"/>
    <x v="1"/>
    <x v="10"/>
    <x v="2"/>
    <n v="2.85"/>
    <n v="8.5"/>
    <n v="0.94814814814814818"/>
    <n v="224"/>
    <n v="5"/>
    <m/>
    <m/>
    <x v="2"/>
    <n v="1E+16"/>
    <m/>
    <n v="6.6"/>
    <n v="4.7"/>
    <m/>
    <n v="5.5662576000000001"/>
    <n v="3.0923653333333334"/>
    <n v="199.99"/>
    <n v="111.10555555555555"/>
    <n v="199.99"/>
    <n v="111.10555555555555"/>
    <n v="22.22111111111111"/>
    <n v="25.313476444444444"/>
    <m/>
    <m/>
    <m/>
  </r>
  <r>
    <d v="2018-07-03T00:00:00"/>
    <x v="0"/>
    <s v="Ultrastar C15K600"/>
    <x v="0"/>
    <x v="1"/>
    <x v="11"/>
    <x v="3"/>
    <n v="1.99"/>
    <n v="8.5"/>
    <n v="1.7833333333333332"/>
    <n v="250"/>
    <n v="5"/>
    <m/>
    <m/>
    <x v="2"/>
    <n v="1E+17"/>
    <m/>
    <n v="7.5"/>
    <n v="5.8"/>
    <m/>
    <n v="6.7277208000000002"/>
    <n v="11.212868"/>
    <n v="169.99"/>
    <n v="283.31666666666672"/>
    <n v="169.99"/>
    <n v="283.31666666666672"/>
    <n v="56.663333333333341"/>
    <n v="67.876201333333341"/>
    <m/>
    <m/>
    <s v="32GB NAND, Media caching"/>
  </r>
  <r>
    <d v="2018-07-03T00:00:00"/>
    <x v="0"/>
    <s v="Ultrastar He6"/>
    <x v="0"/>
    <x v="0"/>
    <x v="1"/>
    <x v="0"/>
    <n v="4.16"/>
    <n v="8.5"/>
    <n v="0.33333333333333326"/>
    <n v="195"/>
    <n v="5"/>
    <n v="600000"/>
    <n v="550"/>
    <x v="3"/>
    <n v="1000000000000000"/>
    <m/>
    <n v="7.4"/>
    <n v="5.0999999999999996"/>
    <m/>
    <n v="6.0922031999999993"/>
    <n v="1.0153671999999998"/>
    <n v="326.55"/>
    <n v="54.425000000000004"/>
    <n v="326.55"/>
    <n v="54.425000000000004"/>
    <n v="10.885000000000002"/>
    <n v="11.900367200000002"/>
    <n v="20"/>
    <m/>
    <s v="Helium filled"/>
  </r>
  <r>
    <d v="2018-07-03T00:00:00"/>
    <x v="0"/>
    <s v="Ultrastar He8"/>
    <x v="0"/>
    <x v="0"/>
    <x v="2"/>
    <x v="0"/>
    <n v="4.16"/>
    <n v="8.5"/>
    <n v="0.33333333333333326"/>
    <n v="237"/>
    <n v="5"/>
    <n v="600000"/>
    <n v="550"/>
    <x v="3"/>
    <n v="1000000000000000"/>
    <m/>
    <n v="7.4"/>
    <n v="5.0999999999999996"/>
    <m/>
    <n v="6.0922031999999993"/>
    <n v="0.76152539999999991"/>
    <n v="330.59"/>
    <n v="41.323749999999997"/>
    <n v="330.59"/>
    <n v="41.323749999999997"/>
    <n v="8.2647499999999994"/>
    <n v="9.0262753999999994"/>
    <n v="20"/>
    <n v="36"/>
    <s v="Helium filled, Media caching"/>
  </r>
  <r>
    <d v="2018-07-03T00:00:00"/>
    <x v="0"/>
    <s v="Ultrastar He10"/>
    <x v="0"/>
    <x v="0"/>
    <x v="3"/>
    <x v="0"/>
    <n v="4.16"/>
    <n v="8.5"/>
    <n v="0.33333333333333326"/>
    <n v="237"/>
    <n v="5"/>
    <n v="600000"/>
    <n v="550"/>
    <x v="3"/>
    <n v="1000000000000000"/>
    <m/>
    <n v="6.8"/>
    <n v="5"/>
    <m/>
    <n v="5.8730592000000001"/>
    <n v="0.58730592000000004"/>
    <n v="344.56"/>
    <n v="34.456000000000003"/>
    <n v="344.56"/>
    <n v="34.456000000000003"/>
    <n v="6.8912000000000004"/>
    <n v="7.4785059200000008"/>
    <n v="20"/>
    <n v="36"/>
    <s v="Helium filled"/>
  </r>
  <r>
    <d v="2018-07-03T00:00:00"/>
    <x v="0"/>
    <s v="Ultrastar He12"/>
    <x v="0"/>
    <x v="0"/>
    <x v="12"/>
    <x v="0"/>
    <n v="4.16"/>
    <n v="8.5"/>
    <n v="0.33333333333333326"/>
    <n v="243"/>
    <n v="5"/>
    <n v="600000"/>
    <n v="550"/>
    <x v="3"/>
    <n v="1000000000000000"/>
    <m/>
    <n v="7.2"/>
    <n v="5.3"/>
    <m/>
    <n v="6.2236896000000002"/>
    <n v="0.51864080000000001"/>
    <n v="429.99"/>
    <n v="35.832500000000003"/>
    <n v="429.99"/>
    <n v="35.832500000000003"/>
    <n v="7.166500000000001"/>
    <n v="7.685140800000001"/>
    <n v="20"/>
    <n v="36"/>
    <s v="Helium filled"/>
  </r>
  <r>
    <d v="2018-01-27T00:00:00"/>
    <x v="0"/>
    <s v="Ultrastar Hs14"/>
    <x v="2"/>
    <x v="0"/>
    <x v="13"/>
    <x v="0"/>
    <n v="4.16"/>
    <n v="8.5"/>
    <n v="0.33333333333333326"/>
    <n v="223"/>
    <n v="5"/>
    <n v="600000"/>
    <n v="550"/>
    <x v="3"/>
    <n v="1000000000000000"/>
    <n v="20.07"/>
    <n v="6.4"/>
    <n v="5.2"/>
    <n v="0.8"/>
    <n v="5.960716800000001"/>
    <n v="0.4257654857142858"/>
    <n v="650"/>
    <n v="46.428571428571431"/>
    <n v="650"/>
    <n v="46.428571428571431"/>
    <n v="9.2857142857142865"/>
    <n v="9.7114797714285714"/>
    <n v="20"/>
    <n v="36"/>
    <s v="Helium filled, Shingled (SMR)"/>
  </r>
  <r>
    <d v="2017-11-25T00:00:00"/>
    <x v="1"/>
    <s v="Archive"/>
    <x v="2"/>
    <x v="0"/>
    <x v="7"/>
    <x v="4"/>
    <m/>
    <m/>
    <n v="9.259259259259256E-2"/>
    <n v="180"/>
    <n v="3"/>
    <n v="300000"/>
    <n v="180"/>
    <x v="4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  <n v="11.200261599999999"/>
    <m/>
    <m/>
    <m/>
  </r>
  <r>
    <d v="2017-11-25T00:00:00"/>
    <x v="1"/>
    <s v="Archive"/>
    <x v="2"/>
    <x v="0"/>
    <x v="1"/>
    <x v="4"/>
    <m/>
    <m/>
    <n v="9.259259259259256E-2"/>
    <n v="190"/>
    <n v="3"/>
    <n v="300000"/>
    <n v="180"/>
    <x v="4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  <n v="8.9258699999999997"/>
    <m/>
    <m/>
    <m/>
  </r>
  <r>
    <d v="2017-11-27T00:00:00"/>
    <x v="1"/>
    <s v="Archive"/>
    <x v="2"/>
    <x v="0"/>
    <x v="2"/>
    <x v="4"/>
    <n v="5.5"/>
    <n v="11.99"/>
    <n v="9.259259259259256E-2"/>
    <n v="190"/>
    <n v="3"/>
    <n v="300000"/>
    <n v="180"/>
    <x v="4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  <n v="7.5206474999999999"/>
    <m/>
    <m/>
    <m/>
  </r>
  <r>
    <d v="2018-08-08T00:00:00"/>
    <x v="1"/>
    <s v="BarraCuda"/>
    <x v="1"/>
    <x v="1"/>
    <x v="4"/>
    <x v="1"/>
    <m/>
    <m/>
    <n v="0"/>
    <n v="140"/>
    <n v="2"/>
    <n v="600000"/>
    <m/>
    <x v="1"/>
    <n v="100000000000000"/>
    <n v="5"/>
    <n v="1.7"/>
    <n v="0.45"/>
    <m/>
    <n v="0.76700400000000002"/>
    <n v="0.76700400000000002"/>
    <n v="41.99"/>
    <n v="41.99"/>
    <n v="55.846699999999998"/>
    <n v="55.846699999999998"/>
    <n v="11.16934"/>
    <n v="11.936344"/>
    <n v="22"/>
    <n v="24"/>
    <m/>
  </r>
  <r>
    <d v="2018-08-22T00:00:00"/>
    <x v="1"/>
    <s v="BarraCuda"/>
    <x v="1"/>
    <x v="1"/>
    <x v="5"/>
    <x v="1"/>
    <m/>
    <m/>
    <n v="0"/>
    <n v="140"/>
    <n v="2"/>
    <n v="600000"/>
    <m/>
    <x v="1"/>
    <n v="100000000000000"/>
    <n v="5"/>
    <n v="1.8"/>
    <n v="0.5"/>
    <m/>
    <n v="0.83274720000000002"/>
    <n v="0.41637360000000001"/>
    <n v="69.989999999999995"/>
    <n v="34.994999999999997"/>
    <n v="93.086699999999993"/>
    <n v="46.543349999999997"/>
    <n v="9.3086699999999993"/>
    <n v="9.7250435999999993"/>
    <n v="24"/>
    <n v="26"/>
    <m/>
  </r>
  <r>
    <d v="2018-01-14T00:00:00"/>
    <x v="1"/>
    <s v="BarraCuda"/>
    <x v="1"/>
    <x v="1"/>
    <x v="6"/>
    <x v="1"/>
    <m/>
    <m/>
    <n v="0"/>
    <n v="140"/>
    <n v="2"/>
    <n v="600000"/>
    <m/>
    <x v="1"/>
    <n v="100000000000000"/>
    <n v="6"/>
    <n v="2.1"/>
    <n v="1.1000000000000001"/>
    <m/>
    <n v="1.4244360000000003"/>
    <n v="0.47481200000000007"/>
    <n v="129.99"/>
    <n v="43.330000000000005"/>
    <n v="172.88670000000002"/>
    <n v="57.628900000000009"/>
    <n v="11.525780000000001"/>
    <n v="12.000592000000001"/>
    <n v="26"/>
    <n v="27"/>
    <m/>
  </r>
  <r>
    <d v="2018-01-03T00:00:00"/>
    <x v="1"/>
    <s v="BarraCuda"/>
    <x v="1"/>
    <x v="1"/>
    <x v="0"/>
    <x v="1"/>
    <m/>
    <m/>
    <n v="0"/>
    <n v="140"/>
    <n v="2"/>
    <n v="600000"/>
    <m/>
    <x v="1"/>
    <n v="100000000000000"/>
    <n v="6"/>
    <n v="2.1"/>
    <n v="1.1000000000000001"/>
    <m/>
    <n v="1.4244360000000003"/>
    <n v="0.35610900000000006"/>
    <n v="157.09"/>
    <n v="39.272500000000001"/>
    <n v="208.92970000000003"/>
    <n v="52.232425000000006"/>
    <n v="10.446485000000001"/>
    <n v="10.802594000000001"/>
    <n v="26"/>
    <n v="27"/>
    <m/>
  </r>
  <r>
    <d v="2018-01-14T00:00:00"/>
    <x v="1"/>
    <s v="BarraCuda"/>
    <x v="1"/>
    <x v="1"/>
    <x v="7"/>
    <x v="1"/>
    <m/>
    <m/>
    <n v="0"/>
    <n v="140"/>
    <n v="2"/>
    <n v="600000"/>
    <m/>
    <x v="1"/>
    <n v="100000000000000"/>
    <n v="6"/>
    <n v="2.1"/>
    <n v="1.1000000000000001"/>
    <m/>
    <n v="1.4244360000000003"/>
    <n v="0.28488720000000006"/>
    <n v="196.22"/>
    <n v="39.244"/>
    <n v="260.9726"/>
    <n v="52.194519999999997"/>
    <n v="10.438903999999999"/>
    <n v="10.723791199999999"/>
    <n v="26"/>
    <n v="27"/>
    <m/>
  </r>
  <r>
    <d v="2018-08-07T00:00:00"/>
    <x v="1"/>
    <s v="BarraCuda"/>
    <x v="3"/>
    <x v="0"/>
    <x v="4"/>
    <x v="0"/>
    <n v="4.16"/>
    <n v="9.5"/>
    <n v="0.33333333333333326"/>
    <n v="156"/>
    <n v="2"/>
    <n v="300000"/>
    <n v="55"/>
    <x v="1"/>
    <n v="100000000000000"/>
    <n v="24"/>
    <n v="5.3"/>
    <n v="4.5999999999999996"/>
    <n v="0.94"/>
    <n v="5.1937128000000001"/>
    <n v="5.1937128000000001"/>
    <n v="39.99"/>
    <n v="39.99"/>
    <n v="53.186700000000002"/>
    <n v="53.186700000000002"/>
    <n v="10.63734"/>
    <n v="15.8310528"/>
    <n v="24"/>
    <n v="25"/>
    <m/>
  </r>
  <r>
    <d v="2018-07-25T00:00:00"/>
    <x v="1"/>
    <s v="BarraCuda"/>
    <x v="3"/>
    <x v="0"/>
    <x v="5"/>
    <x v="0"/>
    <n v="6"/>
    <n v="15"/>
    <n v="0.33333333333333326"/>
    <n v="190"/>
    <n v="2"/>
    <n v="600000"/>
    <n v="55"/>
    <x v="1"/>
    <n v="100000000000000"/>
    <n v="30"/>
    <n v="8"/>
    <n v="5.4"/>
    <n v="0.75"/>
    <n v="6.486662400000001"/>
    <n v="3.2433312000000005"/>
    <n v="53.99"/>
    <n v="26.995000000000001"/>
    <n v="71.806700000000006"/>
    <n v="35.903350000000003"/>
    <n v="7.180670000000001"/>
    <n v="10.424001200000001"/>
    <n v="21"/>
    <n v="23"/>
    <m/>
  </r>
  <r>
    <d v="2018-08-08T00:00:00"/>
    <x v="1"/>
    <s v="BarraCuda"/>
    <x v="3"/>
    <x v="0"/>
    <x v="6"/>
    <x v="0"/>
    <n v="6"/>
    <n v="15"/>
    <n v="0.33333333333333326"/>
    <n v="185"/>
    <n v="2"/>
    <n v="600000"/>
    <n v="55"/>
    <x v="1"/>
    <n v="100000000000000"/>
    <n v="30"/>
    <n v="8"/>
    <n v="5.4"/>
    <n v="0.75"/>
    <n v="6.486662400000001"/>
    <n v="2.1622208000000005"/>
    <n v="69.989999999999995"/>
    <n v="23.33"/>
    <n v="93.086699999999993"/>
    <n v="31.028899999999997"/>
    <n v="6.205779999999999"/>
    <n v="8.368000799999999"/>
    <n v="24"/>
    <n v="27"/>
    <m/>
  </r>
  <r>
    <d v="2018-08-22T00:00:00"/>
    <x v="1"/>
    <s v="BarraCuda"/>
    <x v="3"/>
    <x v="0"/>
    <x v="0"/>
    <x v="0"/>
    <n v="6"/>
    <n v="15"/>
    <n v="0.33333333333333326"/>
    <n v="190"/>
    <n v="2"/>
    <n v="600000"/>
    <n v="55"/>
    <x v="1"/>
    <n v="100000000000000"/>
    <n v="24"/>
    <n v="5"/>
    <n v="2.5"/>
    <n v="0.25"/>
    <n v="3.2871600000000001"/>
    <n v="0.82179000000000002"/>
    <n v="89.99"/>
    <n v="22.497499999999999"/>
    <n v="119.6867"/>
    <n v="29.921675"/>
    <n v="5.9843349999999997"/>
    <n v="6.8061249999999998"/>
    <n v="24"/>
    <n v="27"/>
    <m/>
  </r>
  <r>
    <d v="2018-08-02T00:00:00"/>
    <x v="1"/>
    <s v="BarraCuda"/>
    <x v="3"/>
    <x v="0"/>
    <x v="1"/>
    <x v="0"/>
    <n v="6"/>
    <n v="15"/>
    <n v="0.33333333333333326"/>
    <n v="185"/>
    <n v="2"/>
    <n v="600000"/>
    <n v="55"/>
    <x v="1"/>
    <n v="1000000000000000"/>
    <n v="24"/>
    <n v="5.3"/>
    <n v="3.4"/>
    <n v="0.25"/>
    <n v="4.1418216000000001"/>
    <n v="0.69030360000000002"/>
    <n v="140.99"/>
    <n v="23.498333333333335"/>
    <n v="187.51670000000001"/>
    <n v="31.252783333333337"/>
    <n v="6.2505566666666672"/>
    <n v="6.9408602666666672"/>
    <n v="25"/>
    <n v="26"/>
    <m/>
  </r>
  <r>
    <d v="2018-08-08T00:00:00"/>
    <x v="1"/>
    <s v="BarraCuda"/>
    <x v="3"/>
    <x v="0"/>
    <x v="2"/>
    <x v="0"/>
    <n v="6"/>
    <n v="15"/>
    <n v="0.33333333333333326"/>
    <n v="190"/>
    <n v="2"/>
    <n v="600000"/>
    <n v="55"/>
    <x v="1"/>
    <n v="1000000000000000"/>
    <n v="24"/>
    <n v="5.3"/>
    <n v="3.4"/>
    <n v="0.25"/>
    <n v="4.1418216000000001"/>
    <n v="0.51772770000000001"/>
    <n v="186.99"/>
    <n v="23.373750000000001"/>
    <n v="248.69670000000002"/>
    <n v="31.087087500000003"/>
    <n v="6.2174175000000007"/>
    <n v="6.7351452000000007"/>
    <n v="25"/>
    <n v="26"/>
    <m/>
  </r>
  <r>
    <d v="2018-07-17T00:00:00"/>
    <x v="1"/>
    <s v="BarraCuda Pro"/>
    <x v="3"/>
    <x v="0"/>
    <x v="5"/>
    <x v="0"/>
    <n v="4.16"/>
    <m/>
    <n v="0.33333333333333326"/>
    <n v="195"/>
    <n v="5"/>
    <s v="600000+M11"/>
    <n v="180"/>
    <x v="5"/>
    <n v="1000000000000000"/>
    <n v="24"/>
    <n v="6.7"/>
    <n v="4.5"/>
    <n v="0.8"/>
    <n v="5.4128568000000001"/>
    <n v="2.7064284000000001"/>
    <n v="110.37"/>
    <n v="55.185000000000002"/>
    <n v="110.37"/>
    <n v="55.185000000000002"/>
    <n v="11.037000000000001"/>
    <n v="13.743428400000001"/>
    <n v="24"/>
    <n v="28"/>
    <m/>
  </r>
  <r>
    <d v="2018-07-17T00:00:00"/>
    <x v="1"/>
    <s v="BarraCuda Pro"/>
    <x v="3"/>
    <x v="0"/>
    <x v="0"/>
    <x v="0"/>
    <n v="4.16"/>
    <m/>
    <n v="0.33333333333333326"/>
    <n v="214"/>
    <n v="5"/>
    <n v="600000"/>
    <n v="180"/>
    <x v="5"/>
    <n v="1000000000000000"/>
    <n v="24"/>
    <n v="6.7"/>
    <n v="6"/>
    <n v="0.6"/>
    <n v="6.7277208000000002"/>
    <n v="1.6819302"/>
    <n v="174.99"/>
    <n v="43.747500000000002"/>
    <n v="174.99"/>
    <n v="43.747500000000002"/>
    <n v="8.7495000000000012"/>
    <n v="10.431430200000001"/>
    <n v="30"/>
    <n v="34"/>
    <m/>
  </r>
  <r>
    <d v="2018-07-17T00:00:00"/>
    <x v="1"/>
    <s v="BarraCuda Pro"/>
    <x v="3"/>
    <x v="0"/>
    <x v="1"/>
    <x v="0"/>
    <n v="4.16"/>
    <m/>
    <n v="0.33333333333333326"/>
    <n v="214"/>
    <n v="5"/>
    <n v="600000"/>
    <n v="300"/>
    <x v="5"/>
    <n v="1000000000000000"/>
    <n v="24"/>
    <n v="9"/>
    <n v="7.2"/>
    <n v="0.6"/>
    <n v="8.2836432000000002"/>
    <n v="1.3806072"/>
    <n v="157.99"/>
    <n v="26.331666666666667"/>
    <n v="157.99"/>
    <n v="26.331666666666667"/>
    <n v="5.2663333333333338"/>
    <n v="6.6469405333333338"/>
    <n v="30"/>
    <n v="34"/>
    <m/>
  </r>
  <r>
    <d v="2018-07-17T00:00:00"/>
    <x v="1"/>
    <s v="BarraCuda Pro"/>
    <x v="3"/>
    <x v="0"/>
    <x v="2"/>
    <x v="0"/>
    <n v="4.16"/>
    <m/>
    <n v="0.33333333333333326"/>
    <n v="210"/>
    <n v="5"/>
    <n v="300000"/>
    <n v="300"/>
    <x v="0"/>
    <n v="1000000000000000"/>
    <n v="24"/>
    <n v="6.8"/>
    <n v="4.42"/>
    <n v="0.8"/>
    <n v="5.3646451200000005"/>
    <n v="0.67058064000000006"/>
    <n v="272.63"/>
    <n v="34.078749999999999"/>
    <n v="272.63"/>
    <n v="34.078749999999999"/>
    <n v="6.8157499999999995"/>
    <n v="7.4863306399999994"/>
    <n v="30"/>
    <n v="34"/>
    <m/>
  </r>
  <r>
    <d v="2018-07-17T00:00:00"/>
    <x v="1"/>
    <s v="BarraCuda Pro"/>
    <x v="3"/>
    <x v="0"/>
    <x v="3"/>
    <x v="0"/>
    <n v="4.16"/>
    <m/>
    <n v="0.33333333333333326"/>
    <n v="210"/>
    <n v="5"/>
    <n v="300000"/>
    <n v="300"/>
    <x v="0"/>
    <n v="1000000000000000"/>
    <n v="24"/>
    <n v="7.8"/>
    <n v="4.42"/>
    <n v="0.8"/>
    <n v="5.5837891200000005"/>
    <n v="0.55837891200000001"/>
    <n v="366.84"/>
    <n v="36.683999999999997"/>
    <n v="366.84"/>
    <n v="36.683999999999997"/>
    <n v="7.3367999999999993"/>
    <n v="7.8951789119999995"/>
    <m/>
    <m/>
    <m/>
  </r>
  <r>
    <d v="2018-03-31T00:00:00"/>
    <x v="1"/>
    <s v="BarraCuda Pro"/>
    <x v="3"/>
    <x v="0"/>
    <x v="12"/>
    <x v="0"/>
    <n v="4.16"/>
    <m/>
    <n v="0.33333333333333326"/>
    <n v="238"/>
    <n v="5"/>
    <n v="300000"/>
    <n v="300"/>
    <x v="0"/>
    <n v="1000000000000000"/>
    <n v="24"/>
    <n v="7.8"/>
    <n v="4.83"/>
    <n v="0.84"/>
    <n v="5.9431852800000007"/>
    <n v="0.49526544000000006"/>
    <n v="439.99"/>
    <n v="36.665833333333332"/>
    <n v="439.99"/>
    <n v="36.665833333333332"/>
    <n v="7.3331666666666662"/>
    <n v="7.828432106666666"/>
    <m/>
    <m/>
    <m/>
  </r>
  <r>
    <d v="2018-01-14T00:00:00"/>
    <x v="1"/>
    <s v="Constellation ES.3"/>
    <x v="0"/>
    <x v="0"/>
    <x v="0"/>
    <x v="0"/>
    <n v="4.16"/>
    <m/>
    <n v="0.33333333333333326"/>
    <n v="175"/>
    <n v="5"/>
    <n v="600000"/>
    <n v="550"/>
    <x v="2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  <n v="8.8417773400000002"/>
    <m/>
    <m/>
    <m/>
  </r>
  <r>
    <d v="2018-01-27T00:00:00"/>
    <x v="1"/>
    <s v="Exos 10E2400"/>
    <x v="0"/>
    <x v="1"/>
    <x v="9"/>
    <x v="5"/>
    <n v="2.9"/>
    <m/>
    <n v="0.94444444444444442"/>
    <n v="270"/>
    <n v="5"/>
    <m/>
    <n v="550"/>
    <x v="2"/>
    <n v="1E+16"/>
    <n v="21.830000000000002"/>
    <n v="8.75"/>
    <n v="4.9000000000000004"/>
    <n v="3.63"/>
    <n v="6.2127324000000002"/>
    <n v="5.1772770000000001"/>
    <n v="295.95"/>
    <n v="246.625"/>
    <n v="295.95"/>
    <n v="246.625"/>
    <n v="49.325000000000003"/>
    <n v="54.502277000000007"/>
    <n v="31"/>
    <m/>
    <s v="16GiB NAND"/>
  </r>
  <r>
    <d v="2018-01-27T00:00:00"/>
    <x v="1"/>
    <s v="Exos 10E2400"/>
    <x v="0"/>
    <x v="1"/>
    <x v="10"/>
    <x v="5"/>
    <n v="2.9"/>
    <m/>
    <n v="0.94444444444444442"/>
    <n v="270"/>
    <n v="5"/>
    <m/>
    <n v="550"/>
    <x v="2"/>
    <n v="1E+16"/>
    <n v="21.59"/>
    <n v="6.95"/>
    <n v="4.26"/>
    <n v="4.2300000000000004"/>
    <n v="5.2572645600000003"/>
    <n v="2.9207025333333334"/>
    <n v="379.99"/>
    <n v="211.10555555555555"/>
    <n v="379.99"/>
    <n v="211.10555555555555"/>
    <n v="42.221111111111114"/>
    <n v="45.141813644444447"/>
    <n v="31"/>
    <m/>
    <s v="16GiB NAND"/>
  </r>
  <r>
    <d v="2018-01-27T00:00:00"/>
    <x v="1"/>
    <s v="Exos 10E2400"/>
    <x v="0"/>
    <x v="1"/>
    <x v="14"/>
    <x v="5"/>
    <n v="2.9"/>
    <m/>
    <n v="0.94444444444444442"/>
    <n v="270"/>
    <n v="5"/>
    <m/>
    <n v="550"/>
    <x v="2"/>
    <n v="1E+16"/>
    <n v="23.03"/>
    <n v="8.57"/>
    <n v="4.9000000000000004"/>
    <n v="4.88"/>
    <n v="6.1732864799999998"/>
    <n v="2.5722027000000001"/>
    <n v="484.57"/>
    <n v="201.90416666666667"/>
    <n v="484.57"/>
    <n v="201.90416666666667"/>
    <n v="40.380833333333335"/>
    <n v="42.953036033333333"/>
    <n v="31"/>
    <m/>
    <s v="16GiB NAND"/>
  </r>
  <r>
    <d v="2018-03-07T00:00:00"/>
    <x v="1"/>
    <s v="Exos 15E900"/>
    <x v="0"/>
    <x v="0"/>
    <x v="8"/>
    <x v="6"/>
    <n v="2"/>
    <m/>
    <n v="1.7777777777777777"/>
    <n v="215"/>
    <n v="5"/>
    <m/>
    <n v="550"/>
    <x v="2"/>
    <n v="1E+16"/>
    <m/>
    <n v="7.6"/>
    <n v="5.7"/>
    <m/>
    <n v="6.6619776000000002"/>
    <n v="7.4021973333333335"/>
    <n v="416.96"/>
    <n v="463.28888888888883"/>
    <n v="416.96"/>
    <n v="463.28888888888883"/>
    <n v="92.657777777777767"/>
    <n v="100.0599751111111"/>
    <m/>
    <m/>
    <s v="8GiB NAND"/>
  </r>
  <r>
    <d v="2018-03-07T00:00:00"/>
    <x v="1"/>
    <s v="Exos 5E8"/>
    <x v="2"/>
    <x v="0"/>
    <x v="2"/>
    <x v="4"/>
    <m/>
    <m/>
    <n v="9.259259259259256E-2"/>
    <n v="190"/>
    <n v="3"/>
    <n v="300000"/>
    <n v="180"/>
    <x v="4"/>
    <n v="100000000000000"/>
    <n v="24"/>
    <n v="5.3"/>
    <n v="3.7"/>
    <n v="0.99"/>
    <n v="4.4047944000000001"/>
    <n v="0.55059930000000001"/>
    <n v="281.99"/>
    <n v="35.248750000000001"/>
    <n v="344.02780000000001"/>
    <n v="43.003475000000002"/>
    <n v="8.600695"/>
    <n v="9.1512943"/>
    <m/>
    <m/>
    <s v="Shingled (SMR)"/>
  </r>
  <r>
    <d v="2018-01-14T00:00:00"/>
    <x v="1"/>
    <s v="Exos 7E2"/>
    <x v="0"/>
    <x v="0"/>
    <x v="4"/>
    <x v="0"/>
    <n v="4.16"/>
    <m/>
    <n v="0.33333333333333326"/>
    <n v="194"/>
    <n v="5"/>
    <m/>
    <n v="550"/>
    <x v="2"/>
    <n v="1000000000000000"/>
    <m/>
    <n v="7"/>
    <n v="4.7"/>
    <m/>
    <n v="5.6539152000000001"/>
    <n v="5.6539152000000001"/>
    <n v="165"/>
    <n v="165"/>
    <n v="165"/>
    <n v="165"/>
    <n v="33"/>
    <n v="38.6539152"/>
    <m/>
    <m/>
    <m/>
  </r>
  <r>
    <d v="2017-10-19T00:00:00"/>
    <x v="1"/>
    <s v="Exos 7E2"/>
    <x v="0"/>
    <x v="0"/>
    <x v="5"/>
    <x v="0"/>
    <n v="4.16"/>
    <m/>
    <n v="0.33333333333333326"/>
    <n v="194"/>
    <n v="5"/>
    <m/>
    <n v="550"/>
    <x v="2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  <n v="33.486957600000004"/>
    <m/>
    <m/>
    <m/>
  </r>
  <r>
    <d v="2018-07-17T00:00:00"/>
    <x v="1"/>
    <s v="Exos 7E2000"/>
    <x v="0"/>
    <x v="1"/>
    <x v="4"/>
    <x v="0"/>
    <n v="4.16"/>
    <m/>
    <n v="0.33333333333333326"/>
    <n v="136"/>
    <n v="5"/>
    <n v="300000"/>
    <n v="550"/>
    <x v="2"/>
    <n v="1000000000000000"/>
    <m/>
    <n v="5.9"/>
    <n v="3.29"/>
    <n v="1.52"/>
    <n v="4.1768846400000008"/>
    <n v="4.1768846400000008"/>
    <n v="176.27"/>
    <n v="176.27"/>
    <n v="176.27"/>
    <n v="176.27"/>
    <n v="35.254000000000005"/>
    <n v="39.430884640000002"/>
    <m/>
    <m/>
    <m/>
  </r>
  <r>
    <d v="2018-03-07T00:00:00"/>
    <x v="1"/>
    <s v="Exos 7E2000"/>
    <x v="0"/>
    <x v="1"/>
    <x v="5"/>
    <x v="0"/>
    <n v="4.16"/>
    <m/>
    <n v="0.33333333333333326"/>
    <n v="136"/>
    <n v="5"/>
    <n v="300000"/>
    <n v="550"/>
    <x v="2"/>
    <n v="1000000000000000"/>
    <m/>
    <n v="6.02"/>
    <n v="3.53"/>
    <n v="1.52"/>
    <n v="4.4135601600000003"/>
    <n v="2.2067800800000001"/>
    <n v="270"/>
    <n v="135"/>
    <n v="270"/>
    <n v="135"/>
    <n v="27"/>
    <n v="29.206780080000001"/>
    <m/>
    <m/>
    <m/>
  </r>
  <r>
    <d v="2018-02-04T00:00:00"/>
    <x v="1"/>
    <s v="Exos 7E8"/>
    <x v="0"/>
    <x v="0"/>
    <x v="4"/>
    <x v="0"/>
    <n v="4.16"/>
    <m/>
    <n v="0.33333333333333326"/>
    <n v="205"/>
    <n v="5"/>
    <n v="600000"/>
    <n v="550"/>
    <x v="2"/>
    <n v="1000000000000000"/>
    <m/>
    <n v="5.91"/>
    <n v="4.25"/>
    <m/>
    <n v="5.0205890399999999"/>
    <n v="5.0205890399999999"/>
    <n v="89.47"/>
    <n v="89.47"/>
    <n v="89.47"/>
    <n v="89.47"/>
    <n v="17.893999999999998"/>
    <n v="22.914589039999999"/>
    <m/>
    <m/>
    <m/>
  </r>
  <r>
    <d v="2018-02-04T00:00:00"/>
    <x v="1"/>
    <s v="Exos 7E8"/>
    <x v="0"/>
    <x v="0"/>
    <x v="5"/>
    <x v="0"/>
    <n v="4.16"/>
    <m/>
    <n v="0.33333333333333326"/>
    <n v="205"/>
    <n v="5"/>
    <n v="600000"/>
    <n v="550"/>
    <x v="2"/>
    <n v="1000000000000000"/>
    <m/>
    <n v="5.9"/>
    <n v="4.25"/>
    <n v="0.6"/>
    <n v="5.0183976000000001"/>
    <n v="2.5091988000000001"/>
    <n v="119.99"/>
    <n v="59.994999999999997"/>
    <n v="119.99"/>
    <n v="59.994999999999997"/>
    <n v="11.998999999999999"/>
    <n v="14.508198799999999"/>
    <m/>
    <m/>
    <m/>
  </r>
  <r>
    <d v="2018-07-26T00:00:00"/>
    <x v="1"/>
    <s v="Exos 7E8"/>
    <x v="0"/>
    <x v="0"/>
    <x v="6"/>
    <x v="0"/>
    <n v="4.16"/>
    <m/>
    <n v="0.33333333333333326"/>
    <n v="205"/>
    <n v="5"/>
    <n v="600000"/>
    <n v="550"/>
    <x v="2"/>
    <n v="1000000000000000"/>
    <m/>
    <n v="6.9"/>
    <n v="5.45"/>
    <n v="0.6"/>
    <n v="6.2894328000000002"/>
    <n v="2.0964776000000001"/>
    <n v="174.88"/>
    <n v="58.293333333333329"/>
    <n v="174.88"/>
    <n v="58.293333333333329"/>
    <n v="11.658666666666665"/>
    <n v="13.755144266666665"/>
    <m/>
    <m/>
    <m/>
  </r>
  <r>
    <d v="2018-07-26T00:00:00"/>
    <x v="1"/>
    <s v="Exos 7E8"/>
    <x v="0"/>
    <x v="0"/>
    <x v="0"/>
    <x v="0"/>
    <n v="4.16"/>
    <m/>
    <n v="0.33333333333333326"/>
    <n v="205"/>
    <n v="5"/>
    <n v="600000"/>
    <n v="550"/>
    <x v="2"/>
    <n v="1000000000000000"/>
    <m/>
    <n v="6.9"/>
    <n v="5.45"/>
    <n v="0.6"/>
    <n v="6.2894328000000002"/>
    <n v="1.5723582"/>
    <n v="203.77"/>
    <n v="50.942500000000003"/>
    <n v="129.99"/>
    <n v="32.497500000000002"/>
    <n v="6.4995000000000003"/>
    <n v="8.0718582000000012"/>
    <m/>
    <m/>
    <m/>
  </r>
  <r>
    <d v="2018-02-04T00:00:00"/>
    <x v="1"/>
    <s v="Exos 7E8"/>
    <x v="0"/>
    <x v="0"/>
    <x v="1"/>
    <x v="0"/>
    <n v="4.16"/>
    <m/>
    <n v="0.33333333333333326"/>
    <n v="226"/>
    <n v="5"/>
    <n v="600000"/>
    <n v="550"/>
    <x v="2"/>
    <n v="1000000000000000"/>
    <m/>
    <n v="9.8000000000000007"/>
    <n v="8.15"/>
    <n v="0.6"/>
    <n v="9.2917056000000002"/>
    <n v="1.5486176"/>
    <n v="191.07"/>
    <n v="31.844999999999999"/>
    <n v="191.07"/>
    <n v="31.844999999999999"/>
    <n v="6.3689999999999998"/>
    <n v="7.9176175999999998"/>
    <m/>
    <m/>
    <m/>
  </r>
  <r>
    <d v="2017-12-11T00:00:00"/>
    <x v="1"/>
    <s v="Exos 7E8"/>
    <x v="0"/>
    <x v="0"/>
    <x v="2"/>
    <x v="0"/>
    <n v="4.16"/>
    <m/>
    <n v="0.33333333333333326"/>
    <n v="249"/>
    <n v="5"/>
    <n v="600000"/>
    <n v="550"/>
    <x v="2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  <n v="7.6338202000000006"/>
    <m/>
    <m/>
    <m/>
  </r>
  <r>
    <d v="2018-04-18T00:00:00"/>
    <x v="1"/>
    <s v="Exos X10"/>
    <x v="0"/>
    <x v="0"/>
    <x v="2"/>
    <x v="0"/>
    <n v="4.16"/>
    <m/>
    <n v="0.33333333333333326"/>
    <n v="237"/>
    <n v="5"/>
    <n v="600000"/>
    <n v="550"/>
    <x v="3"/>
    <n v="1000000000000000"/>
    <n v="26.21"/>
    <n v="7.8"/>
    <n v="5"/>
    <n v="0.8"/>
    <n v="6.0922032000000002"/>
    <n v="0.76152540000000002"/>
    <n v="324.99"/>
    <n v="40.623750000000001"/>
    <n v="324.99"/>
    <n v="40.623750000000001"/>
    <n v="8.1247500000000006"/>
    <n v="8.8862754000000006"/>
    <m/>
    <m/>
    <s v="Helium filled"/>
  </r>
  <r>
    <d v="2018-03-20T00:00:00"/>
    <x v="1"/>
    <s v="Exos X10"/>
    <x v="0"/>
    <x v="0"/>
    <x v="3"/>
    <x v="0"/>
    <n v="4.16"/>
    <m/>
    <n v="0.33333333333333326"/>
    <n v="237"/>
    <n v="5"/>
    <n v="600000"/>
    <n v="550"/>
    <x v="3"/>
    <n v="1000000000000000"/>
    <n v="26.18"/>
    <n v="7.8"/>
    <n v="5"/>
    <n v="0.8"/>
    <n v="6.0922032000000002"/>
    <n v="0.60922032000000004"/>
    <n v="348.5"/>
    <n v="34.85"/>
    <n v="348.5"/>
    <n v="34.85"/>
    <n v="6.9700000000000006"/>
    <n v="7.579220320000001"/>
    <m/>
    <m/>
    <s v="Helium filled"/>
  </r>
  <r>
    <d v="2018-07-26T00:00:00"/>
    <x v="1"/>
    <s v="Exos X12"/>
    <x v="0"/>
    <x v="0"/>
    <x v="12"/>
    <x v="0"/>
    <n v="4.16"/>
    <m/>
    <n v="0.33333333333333326"/>
    <n v="261"/>
    <n v="5"/>
    <n v="600000"/>
    <n v="550"/>
    <x v="3"/>
    <n v="1000000000000000"/>
    <n v="25.318000000000001"/>
    <n v="7.8"/>
    <n v="5"/>
    <n v="1.1499999999999999"/>
    <n v="6.0922032000000002"/>
    <n v="0.50768360000000001"/>
    <n v="567.42999999999995"/>
    <n v="47.285833333333329"/>
    <n v="567.42999999999995"/>
    <n v="47.285833333333329"/>
    <n v="9.4571666666666658"/>
    <n v="9.9648502666666658"/>
    <m/>
    <m/>
    <s v="Helium filled"/>
  </r>
  <r>
    <d v="2018-07-17T00:00:00"/>
    <x v="1"/>
    <s v="FireCuda SSHD"/>
    <x v="1"/>
    <x v="1"/>
    <x v="4"/>
    <x v="1"/>
    <n v="5.6"/>
    <n v="13"/>
    <n v="0"/>
    <n v="140"/>
    <n v="5"/>
    <n v="600000"/>
    <n v="55"/>
    <x v="1"/>
    <n v="100000000000000"/>
    <n v="5"/>
    <n v="1.7"/>
    <n v="1.45"/>
    <n v="0.45"/>
    <n v="1.64358"/>
    <n v="1.64358"/>
    <n v="52.99"/>
    <n v="52.99"/>
    <n v="52.99"/>
    <n v="52.99"/>
    <n v="10.598000000000001"/>
    <n v="12.241580000000001"/>
    <n v="22"/>
    <n v="24"/>
    <s v="8GiB NAND"/>
  </r>
  <r>
    <d v="2018-07-25T00:00:00"/>
    <x v="1"/>
    <s v="FireCuda SSHD"/>
    <x v="1"/>
    <x v="1"/>
    <x v="5"/>
    <x v="1"/>
    <n v="5.6"/>
    <n v="13"/>
    <n v="0"/>
    <n v="140"/>
    <n v="5"/>
    <n v="600000"/>
    <n v="55"/>
    <x v="1"/>
    <n v="100000000000000"/>
    <n v="5"/>
    <n v="1.8"/>
    <n v="1.5"/>
    <n v="0.5"/>
    <n v="1.7093232"/>
    <n v="0.85466160000000002"/>
    <n v="74.989999999999995"/>
    <n v="37.494999999999997"/>
    <n v="74.989999999999995"/>
    <n v="37.494999999999997"/>
    <n v="7.4989999999999997"/>
    <n v="8.3536615999999988"/>
    <n v="24"/>
    <n v="26"/>
    <s v="8GiB NAND"/>
  </r>
  <r>
    <d v="2018-07-03T00:00:00"/>
    <x v="1"/>
    <s v="FireCuda SSHD"/>
    <x v="3"/>
    <x v="0"/>
    <x v="4"/>
    <x v="0"/>
    <m/>
    <m/>
    <n v="0.33333333333333326"/>
    <m/>
    <n v="5"/>
    <m/>
    <m/>
    <x v="1"/>
    <m/>
    <n v="24"/>
    <n v="5.9"/>
    <n v="4.5"/>
    <n v="0.63"/>
    <n v="5.2375416000000001"/>
    <n v="5.2375416000000001"/>
    <n v="63.99"/>
    <n v="63.99"/>
    <n v="63.99"/>
    <n v="63.99"/>
    <n v="12.798"/>
    <n v="18.035541600000002"/>
    <n v="24"/>
    <n v="25"/>
    <s v="8GiB NAND"/>
  </r>
  <r>
    <d v="2018-07-17T00:00:00"/>
    <x v="1"/>
    <s v="FireCuda SSHD"/>
    <x v="3"/>
    <x v="0"/>
    <x v="5"/>
    <x v="0"/>
    <m/>
    <m/>
    <n v="0.33333333333333326"/>
    <m/>
    <n v="5"/>
    <m/>
    <m/>
    <x v="1"/>
    <m/>
    <n v="24"/>
    <n v="6.7"/>
    <n v="3.36"/>
    <n v="0.75"/>
    <n v="4.4135601600000003"/>
    <n v="2.2067800800000001"/>
    <n v="69.989999999999995"/>
    <n v="34.994999999999997"/>
    <n v="69.989999999999995"/>
    <n v="34.994999999999997"/>
    <n v="6.9989999999999997"/>
    <n v="9.2057800800000003"/>
    <n v="26"/>
    <n v="27"/>
    <s v="8GiB NAND"/>
  </r>
  <r>
    <d v="2018-07-26T00:00:00"/>
    <x v="1"/>
    <s v="IronWolf"/>
    <x v="0"/>
    <x v="0"/>
    <x v="4"/>
    <x v="4"/>
    <n v="5.0999999999999996"/>
    <n v="11.99"/>
    <n v="9.259259259259256E-2"/>
    <n v="180"/>
    <n v="3"/>
    <n v="600000"/>
    <n v="180"/>
    <x v="0"/>
    <n v="100000000000000"/>
    <n v="14.399999999999999"/>
    <n v="3.76"/>
    <n v="2.5"/>
    <n v="0.8"/>
    <n v="3.0154214399999999"/>
    <n v="3.0154214399999999"/>
    <n v="59.99"/>
    <n v="59.99"/>
    <n v="73.18780000000001"/>
    <n v="73.18780000000001"/>
    <n v="14.637560000000002"/>
    <n v="17.652981440000001"/>
    <n v="20"/>
    <n v="22"/>
    <m/>
  </r>
  <r>
    <d v="2018-08-09T00:00:00"/>
    <x v="1"/>
    <s v="IronWolf"/>
    <x v="0"/>
    <x v="0"/>
    <x v="5"/>
    <x v="4"/>
    <n v="5.0999999999999996"/>
    <n v="11.99"/>
    <n v="9.259259259259256E-2"/>
    <n v="180"/>
    <n v="3"/>
    <n v="600000"/>
    <n v="180"/>
    <x v="0"/>
    <n v="100000000000000"/>
    <n v="24"/>
    <n v="4.3"/>
    <n v="3.56"/>
    <n v="0.8"/>
    <n v="4.0629297600000003"/>
    <n v="2.0314648800000001"/>
    <n v="67.989999999999995"/>
    <n v="33.994999999999997"/>
    <n v="82.947800000000001"/>
    <n v="41.4739"/>
    <n v="8.2947799999999994"/>
    <n v="10.326244879999999"/>
    <n v="20"/>
    <n v="22"/>
    <m/>
  </r>
  <r>
    <d v="2018-07-26T00:00:00"/>
    <x v="1"/>
    <s v="IronWolf"/>
    <x v="0"/>
    <x v="0"/>
    <x v="6"/>
    <x v="4"/>
    <n v="5.0999999999999996"/>
    <n v="11.99"/>
    <n v="9.259259259259256E-2"/>
    <n v="180"/>
    <n v="3"/>
    <n v="600000"/>
    <n v="180"/>
    <x v="0"/>
    <n v="100000000000000"/>
    <n v="24"/>
    <n v="4.8"/>
    <n v="4.8"/>
    <n v="0.6"/>
    <n v="5.2594560000000001"/>
    <n v="1.753152"/>
    <n v="102.41"/>
    <n v="34.136666666666663"/>
    <n v="124.9402"/>
    <n v="41.646733333333337"/>
    <n v="8.3293466666666678"/>
    <n v="10.082498666666668"/>
    <n v="24"/>
    <n v="26"/>
    <m/>
  </r>
  <r>
    <d v="2018-08-02T00:00:00"/>
    <x v="1"/>
    <s v="IronWolf"/>
    <x v="0"/>
    <x v="0"/>
    <x v="0"/>
    <x v="4"/>
    <n v="5.0999999999999996"/>
    <n v="9.5"/>
    <n v="9.259259259259256E-2"/>
    <n v="180"/>
    <n v="3"/>
    <n v="600000"/>
    <n v="180"/>
    <x v="0"/>
    <n v="100000000000000"/>
    <n v="21.6"/>
    <n v="4.8"/>
    <n v="3.95"/>
    <n v="0.5"/>
    <n v="4.5143664000000001"/>
    <n v="1.1285916"/>
    <n v="109.99"/>
    <n v="27.497499999999999"/>
    <n v="134.18779999999998"/>
    <n v="33.546949999999995"/>
    <n v="6.7093899999999991"/>
    <n v="7.8379815999999991"/>
    <n v="24"/>
    <n v="26"/>
    <m/>
  </r>
  <r>
    <d v="2018-08-22T00:00:00"/>
    <x v="1"/>
    <s v="IronWolf"/>
    <x v="0"/>
    <x v="0"/>
    <x v="1"/>
    <x v="0"/>
    <n v="4"/>
    <n v="9.5"/>
    <n v="0.33333333333333326"/>
    <n v="210"/>
    <n v="3"/>
    <n v="600000"/>
    <n v="180"/>
    <x v="0"/>
    <n v="1000000000000000"/>
    <n v="21.6"/>
    <n v="8.1"/>
    <n v="7.2"/>
    <n v="0.6"/>
    <n v="8.0864136000000002"/>
    <n v="1.3477356"/>
    <n v="167.99"/>
    <n v="27.998333333333335"/>
    <n v="204.9478"/>
    <n v="34.157966666666667"/>
    <n v="6.8315933333333332"/>
    <n v="8.1793289333333341"/>
    <n v="28"/>
    <n v="29"/>
    <m/>
  </r>
  <r>
    <d v="2018-07-26T00:00:00"/>
    <x v="1"/>
    <s v="IronWolf"/>
    <x v="0"/>
    <x v="0"/>
    <x v="2"/>
    <x v="0"/>
    <n v="4"/>
    <n v="9.5"/>
    <n v="0.33333333333333326"/>
    <n v="210"/>
    <n v="3"/>
    <n v="600000"/>
    <n v="180"/>
    <x v="0"/>
    <n v="1000000000000000"/>
    <n v="21.6"/>
    <n v="8.8000000000000007"/>
    <n v="7.6"/>
    <n v="0.6"/>
    <n v="8.5904448000000002"/>
    <n v="1.0738056"/>
    <n v="247.46"/>
    <n v="30.932500000000001"/>
    <n v="301.90120000000002"/>
    <n v="37.737650000000002"/>
    <n v="7.5475300000000001"/>
    <n v="8.6213356000000001"/>
    <n v="28"/>
    <n v="29"/>
    <m/>
  </r>
  <r>
    <d v="2018-08-09T00:00:00"/>
    <x v="1"/>
    <s v="IronWolf"/>
    <x v="0"/>
    <x v="0"/>
    <x v="3"/>
    <x v="0"/>
    <m/>
    <m/>
    <n v="0.33333333333333326"/>
    <n v="210"/>
    <n v="3"/>
    <n v="600000"/>
    <n v="180"/>
    <x v="0"/>
    <n v="1000000000000000"/>
    <n v="21.6"/>
    <n v="7.8"/>
    <n v="5"/>
    <n v="0.8"/>
    <n v="6.0922032000000002"/>
    <n v="0.60922032000000004"/>
    <n v="279.99"/>
    <n v="27.999000000000002"/>
    <n v="341.58780000000002"/>
    <n v="34.15878"/>
    <n v="6.8317560000000004"/>
    <n v="7.4409763200000008"/>
    <n v="30"/>
    <n v="34"/>
    <m/>
  </r>
  <r>
    <d v="2018-07-26T00:00:00"/>
    <x v="1"/>
    <s v="IronWolf"/>
    <x v="0"/>
    <x v="0"/>
    <x v="12"/>
    <x v="0"/>
    <n v="4.16"/>
    <m/>
    <n v="0.33333333333333326"/>
    <n v="210"/>
    <n v="3"/>
    <n v="600000"/>
    <n v="180"/>
    <x v="0"/>
    <n v="1000000000000000"/>
    <n v="21.6"/>
    <n v="7.8"/>
    <n v="5"/>
    <n v="0.8"/>
    <n v="6.0922032000000002"/>
    <n v="0.50768360000000001"/>
    <n v="389.99"/>
    <n v="32.499166666666667"/>
    <n v="475.7878"/>
    <n v="39.648983333333334"/>
    <n v="7.9297966666666664"/>
    <n v="8.4374802666666664"/>
    <n v="30"/>
    <n v="34"/>
    <m/>
  </r>
  <r>
    <d v="2018-07-03T00:00:00"/>
    <x v="1"/>
    <s v="IronWolf Pro"/>
    <x v="0"/>
    <x v="0"/>
    <x v="5"/>
    <x v="0"/>
    <n v="4.16"/>
    <m/>
    <n v="0.33333333333333326"/>
    <n v="195"/>
    <n v="5"/>
    <n v="600000"/>
    <n v="300"/>
    <x v="5"/>
    <n v="1000000000000000"/>
    <n v="24"/>
    <n v="6.5"/>
    <n v="4.6100000000000003"/>
    <n v="0.8"/>
    <n v="5.4654513600000012"/>
    <n v="2.7327256800000006"/>
    <n v="129.99"/>
    <n v="64.995000000000005"/>
    <n v="129.99"/>
    <n v="64.995000000000005"/>
    <n v="12.999000000000001"/>
    <n v="15.73172568"/>
    <n v="30"/>
    <n v="34"/>
    <m/>
  </r>
  <r>
    <d v="2018-07-03T00:00:00"/>
    <x v="1"/>
    <s v="IronWolf Pro"/>
    <x v="0"/>
    <x v="0"/>
    <x v="0"/>
    <x v="0"/>
    <n v="4.16"/>
    <m/>
    <n v="0.33333333333333326"/>
    <n v="214"/>
    <n v="5"/>
    <n v="600000"/>
    <n v="300"/>
    <x v="5"/>
    <n v="1000000000000000"/>
    <n v="24"/>
    <n v="8.5"/>
    <n v="5.45"/>
    <n v="0.6"/>
    <n v="6.6400632000000002"/>
    <n v="1.6600158"/>
    <n v="174.99"/>
    <n v="43.747500000000002"/>
    <n v="174.99"/>
    <n v="43.747500000000002"/>
    <n v="8.7495000000000012"/>
    <n v="10.409515800000001"/>
    <n v="30"/>
    <n v="34"/>
    <m/>
  </r>
  <r>
    <d v="2018-07-17T00:00:00"/>
    <x v="1"/>
    <s v="IronWolf Pro"/>
    <x v="0"/>
    <x v="0"/>
    <x v="1"/>
    <x v="0"/>
    <n v="4.16"/>
    <m/>
    <n v="0.33333333333333326"/>
    <n v="214"/>
    <n v="5"/>
    <n v="600000"/>
    <n v="300"/>
    <x v="5"/>
    <n v="1000000000000000"/>
    <n v="24"/>
    <n v="8.1"/>
    <n v="7.5"/>
    <n v="0.6"/>
    <n v="8.3493864000000002"/>
    <n v="1.3915644"/>
    <n v="160.99"/>
    <n v="26.831666666666667"/>
    <n v="160.99"/>
    <n v="26.831666666666667"/>
    <n v="5.3663333333333334"/>
    <n v="6.7578977333333334"/>
    <n v="30"/>
    <n v="34"/>
    <m/>
  </r>
  <r>
    <d v="2018-07-03T00:00:00"/>
    <x v="1"/>
    <s v="IronWolf Pro"/>
    <x v="0"/>
    <x v="0"/>
    <x v="2"/>
    <x v="0"/>
    <n v="4.16"/>
    <m/>
    <n v="0.33333333333333326"/>
    <n v="214"/>
    <n v="5"/>
    <n v="600000"/>
    <n v="300"/>
    <x v="5"/>
    <n v="1000000000000000"/>
    <n v="24"/>
    <n v="7.4"/>
    <n v="4.4000000000000004"/>
    <n v="0.8"/>
    <n v="5.478600000000001"/>
    <n v="0.68482500000000013"/>
    <n v="289.99"/>
    <n v="36.248750000000001"/>
    <n v="289.99"/>
    <n v="36.248750000000001"/>
    <n v="7.2497500000000006"/>
    <n v="7.9345750000000006"/>
    <n v="30"/>
    <n v="34"/>
    <m/>
  </r>
  <r>
    <d v="2018-07-25T00:00:00"/>
    <x v="1"/>
    <s v="IronWolf Pro"/>
    <x v="0"/>
    <x v="0"/>
    <x v="3"/>
    <x v="0"/>
    <n v="4.16"/>
    <m/>
    <n v="0.33333333333333326"/>
    <n v="214"/>
    <n v="5"/>
    <n v="600000"/>
    <n v="300"/>
    <x v="5"/>
    <n v="1000000000000000"/>
    <n v="24"/>
    <n v="7.4"/>
    <n v="5"/>
    <n v="0.8"/>
    <n v="6.0045456000000001"/>
    <n v="0.60045455999999997"/>
    <n v="334.99"/>
    <n v="33.499000000000002"/>
    <n v="334.99"/>
    <n v="33.499000000000002"/>
    <n v="6.6998000000000006"/>
    <n v="7.3002545600000008"/>
    <n v="30"/>
    <n v="34"/>
    <m/>
  </r>
  <r>
    <d v="2018-07-25T00:00:00"/>
    <x v="1"/>
    <s v="IronWolf Pro"/>
    <x v="0"/>
    <x v="0"/>
    <x v="12"/>
    <x v="0"/>
    <n v="4.16"/>
    <m/>
    <n v="0.33333333333333326"/>
    <n v="250"/>
    <n v="5"/>
    <n v="600000"/>
    <n v="300"/>
    <x v="5"/>
    <n v="1000000000000000"/>
    <n v="24"/>
    <n v="7.8"/>
    <n v="5"/>
    <n v="0.8"/>
    <n v="6.0922032000000002"/>
    <n v="0.50768360000000001"/>
    <n v="453.97"/>
    <n v="37.830833333333338"/>
    <n v="453.97"/>
    <n v="37.830833333333338"/>
    <n v="7.5661666666666676"/>
    <n v="8.0738502666666676"/>
    <n v="30"/>
    <n v="34"/>
    <m/>
  </r>
  <r>
    <d v="2018-03-07T00:00:00"/>
    <x v="1"/>
    <s v="Terascale"/>
    <x v="0"/>
    <x v="0"/>
    <x v="0"/>
    <x v="4"/>
    <n v="5.0999999999999996"/>
    <n v="16"/>
    <n v="9.259259259259256E-2"/>
    <n v="140"/>
    <n v="3"/>
    <n v="300000"/>
    <n v="180"/>
    <x v="4"/>
    <n v="100000000000000"/>
    <n v="24"/>
    <n v="6.49"/>
    <n v="4.59"/>
    <n v="0.77"/>
    <n v="5.4457284000000001"/>
    <n v="1.3614321"/>
    <n v="176.12"/>
    <n v="44.03"/>
    <n v="214.8664"/>
    <n v="53.7166"/>
    <n v="10.743320000000001"/>
    <n v="12.104752100000001"/>
    <m/>
    <m/>
    <m/>
  </r>
  <r>
    <d v="2018-06-08T00:00:00"/>
    <x v="2"/>
    <s v="DT01ACA"/>
    <x v="3"/>
    <x v="0"/>
    <x v="4"/>
    <x v="0"/>
    <n v="4.17"/>
    <m/>
    <n v="0.33333333333333326"/>
    <n v="182.2"/>
    <n v="2"/>
    <m/>
    <m/>
    <x v="1"/>
    <n v="100000000000000"/>
    <m/>
    <n v="6.4"/>
    <n v="3.7"/>
    <m/>
    <n v="4.6458528000000001"/>
    <n v="4.6458528000000001"/>
    <n v="39.99"/>
    <n v="39.99"/>
    <n v="53.186700000000002"/>
    <n v="53.186700000000002"/>
    <n v="10.63734"/>
    <n v="15.2831928"/>
    <m/>
    <m/>
    <m/>
  </r>
  <r>
    <d v="2018-01-26T00:00:00"/>
    <x v="2"/>
    <s v="DT01ACA"/>
    <x v="3"/>
    <x v="0"/>
    <x v="5"/>
    <x v="0"/>
    <n v="4.17"/>
    <m/>
    <n v="0.33333333333333326"/>
    <n v="181.5"/>
    <n v="2"/>
    <m/>
    <m/>
    <x v="1"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  <n v="10.2940284"/>
    <m/>
    <m/>
    <m/>
  </r>
  <r>
    <d v="2017-12-11T00:00:00"/>
    <x v="2"/>
    <s v="DT01ACA"/>
    <x v="3"/>
    <x v="0"/>
    <x v="6"/>
    <x v="0"/>
    <n v="4.17"/>
    <m/>
    <n v="0.33333333333333326"/>
    <n v="181.5"/>
    <n v="2"/>
    <m/>
    <m/>
    <x v="1"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  <n v="10.558312266666666"/>
    <m/>
    <m/>
    <m/>
  </r>
  <r>
    <d v="2017-11-05T00:00:00"/>
    <x v="2"/>
    <s v="Enterprise Capacity"/>
    <x v="0"/>
    <x v="0"/>
    <x v="1"/>
    <x v="0"/>
    <m/>
    <n v="8.5"/>
    <n v="0.33333333333333326"/>
    <n v="230"/>
    <n v="5"/>
    <n v="600000"/>
    <n v="550"/>
    <x v="3"/>
    <n v="1E+16"/>
    <m/>
    <n v="8.3000000000000007"/>
    <n v="5.6"/>
    <m/>
    <n v="6.7277208000000002"/>
    <n v="1.1212868"/>
    <n v="204"/>
    <n v="34"/>
    <n v="204"/>
    <n v="34"/>
    <n v="6.8"/>
    <n v="7.9212867999999999"/>
    <n v="34"/>
    <m/>
    <s v="Persistant Write Cache"/>
  </r>
  <r>
    <d v="2017-12-11T00:00:00"/>
    <x v="2"/>
    <s v="Enterprise Capacity"/>
    <x v="0"/>
    <x v="0"/>
    <x v="2"/>
    <x v="0"/>
    <m/>
    <n v="8.5"/>
    <n v="0.33333333333333326"/>
    <n v="230"/>
    <n v="5"/>
    <n v="600000"/>
    <n v="550"/>
    <x v="3"/>
    <n v="1E+16"/>
    <m/>
    <n v="9.1"/>
    <n v="6.4"/>
    <m/>
    <n v="7.6042968000000002"/>
    <n v="0.95053710000000002"/>
    <n v="259.99"/>
    <n v="32.498750000000001"/>
    <n v="259.99"/>
    <n v="32.498750000000001"/>
    <n v="6.4997500000000006"/>
    <n v="7.4502871000000006"/>
    <n v="34"/>
    <m/>
    <s v="Persistant Write Cache"/>
  </r>
  <r>
    <d v="2017-11-05T00:00:00"/>
    <x v="2"/>
    <s v="Enterprise Capacity"/>
    <x v="0"/>
    <x v="0"/>
    <x v="3"/>
    <x v="0"/>
    <m/>
    <n v="8.5"/>
    <n v="0.33333333333333326"/>
    <n v="237"/>
    <n v="5"/>
    <n v="600000"/>
    <n v="550"/>
    <x v="3"/>
    <n v="1E+16"/>
    <m/>
    <n v="10"/>
    <n v="7.3"/>
    <m/>
    <n v="8.5904448000000002"/>
    <n v="0.85904448"/>
    <n v="540.67999999999995"/>
    <n v="54.067999999999998"/>
    <n v="540.67999999999995"/>
    <n v="54.067999999999998"/>
    <n v="10.813599999999999"/>
    <n v="11.672644479999999"/>
    <n v="34"/>
    <m/>
    <s v="Persistant Write Cache"/>
  </r>
  <r>
    <d v="2017-12-11T00:00:00"/>
    <x v="2"/>
    <s v="Enterprise Capacity"/>
    <x v="0"/>
    <x v="0"/>
    <x v="12"/>
    <x v="0"/>
    <m/>
    <m/>
    <n v="0.33333333333333326"/>
    <n v="242"/>
    <n v="5"/>
    <n v="600000"/>
    <n v="550"/>
    <x v="3"/>
    <n v="1E+16"/>
    <m/>
    <n v="7.5"/>
    <n v="3.93"/>
    <m/>
    <n v="5.0885236799999998"/>
    <n v="0.42404364"/>
    <m/>
    <s v=""/>
    <n v="0"/>
    <s v=""/>
    <s v=""/>
    <s v=""/>
    <n v="20"/>
    <m/>
    <s v="Helium filled"/>
  </r>
  <r>
    <d v="2017-12-11T00:00:00"/>
    <x v="2"/>
    <s v="Enterprise Capacity"/>
    <x v="0"/>
    <x v="0"/>
    <x v="13"/>
    <x v="0"/>
    <m/>
    <m/>
    <n v="0.33333333333333326"/>
    <n v="248"/>
    <n v="5"/>
    <n v="600000"/>
    <n v="550"/>
    <x v="3"/>
    <n v="1E+16"/>
    <m/>
    <n v="7.8"/>
    <n v="4.22"/>
    <m/>
    <n v="5.4084739200000005"/>
    <n v="0.38631956571428577"/>
    <m/>
    <s v=""/>
    <n v="0"/>
    <s v=""/>
    <s v=""/>
    <s v=""/>
    <n v="20"/>
    <m/>
    <s v="Helium filled"/>
  </r>
  <r>
    <d v="2018-07-03T00:00:00"/>
    <x v="2"/>
    <s v="Enterprise Performance"/>
    <x v="0"/>
    <x v="1"/>
    <x v="9"/>
    <x v="5"/>
    <n v="2.86"/>
    <n v="4"/>
    <n v="0.94444444444444442"/>
    <n v="226"/>
    <n v="5"/>
    <n v="600000"/>
    <m/>
    <x v="2"/>
    <n v="1E+17"/>
    <m/>
    <n v="7"/>
    <n v="3.5"/>
    <m/>
    <n v="4.6020240000000001"/>
    <n v="3.8350200000000001"/>
    <n v="289.99"/>
    <n v="241.65833333333336"/>
    <n v="289.99"/>
    <n v="241.65833333333336"/>
    <n v="48.331666666666671"/>
    <n v="52.166686666666671"/>
    <m/>
    <m/>
    <s v="Persistant Write Cache"/>
  </r>
  <r>
    <d v="2018-07-03T00:00:00"/>
    <x v="2"/>
    <s v="Enterprise Performance"/>
    <x v="0"/>
    <x v="1"/>
    <x v="10"/>
    <x v="5"/>
    <n v="2.86"/>
    <n v="4"/>
    <n v="0.94444444444444442"/>
    <n v="226"/>
    <n v="5"/>
    <n v="600000"/>
    <m/>
    <x v="2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  <n v="47.669620000000002"/>
    <m/>
    <m/>
    <s v="Persistant Write Cache"/>
  </r>
  <r>
    <d v="2017-12-19T00:00:00"/>
    <x v="2"/>
    <s v="Enterprise Performance"/>
    <x v="0"/>
    <x v="1"/>
    <x v="14"/>
    <x v="5"/>
    <n v="2.86"/>
    <n v="4"/>
    <n v="0.94444444444444442"/>
    <n v="260"/>
    <n v="5"/>
    <n v="600000"/>
    <m/>
    <x v="2"/>
    <n v="1E+17"/>
    <m/>
    <n v="8.6999999999999993"/>
    <n v="5.0999999999999996"/>
    <m/>
    <n v="6.3770903999999993"/>
    <n v="2.6571209999999996"/>
    <m/>
    <s v=""/>
    <n v="0"/>
    <s v=""/>
    <s v=""/>
    <s v=""/>
    <s v=" "/>
    <m/>
    <s v="Persistant Write Cache"/>
  </r>
  <r>
    <d v="2018-07-03T00:00:00"/>
    <x v="2"/>
    <s v="Enterprise Performance"/>
    <x v="0"/>
    <x v="1"/>
    <x v="11"/>
    <x v="6"/>
    <n v="2"/>
    <n v="2.9"/>
    <n v="1.7777777777777777"/>
    <n v="259"/>
    <n v="5"/>
    <n v="600000"/>
    <m/>
    <x v="2"/>
    <n v="1E+17"/>
    <m/>
    <n v="9"/>
    <n v="5.6"/>
    <m/>
    <n v="6.8811216000000002"/>
    <n v="11.468536"/>
    <n v="299.99"/>
    <n v="499.98333333333335"/>
    <n v="299.99"/>
    <n v="499.98333333333335"/>
    <n v="99.99666666666667"/>
    <n v="111.46520266666667"/>
    <m/>
    <m/>
    <s v="Persistant Write Cache"/>
  </r>
  <r>
    <d v="2018-01-14T00:00:00"/>
    <x v="2"/>
    <s v="Enterprise Performance"/>
    <x v="0"/>
    <x v="1"/>
    <x v="8"/>
    <x v="6"/>
    <n v="2"/>
    <n v="2.9"/>
    <n v="1.7777777777777777"/>
    <n v="259"/>
    <n v="5"/>
    <n v="600000"/>
    <m/>
    <x v="2"/>
    <n v="1E+17"/>
    <m/>
    <n v="9"/>
    <n v="5.6"/>
    <m/>
    <n v="6.8811216000000002"/>
    <n v="7.6456906666666669"/>
    <n v="150"/>
    <n v="166.66666666666666"/>
    <n v="150"/>
    <n v="166.66666666666666"/>
    <n v="33.333333333333329"/>
    <n v="40.979023999999995"/>
    <m/>
    <m/>
    <s v="Persistant Write Cache"/>
  </r>
  <r>
    <d v="2018-07-03T00:00:00"/>
    <x v="2"/>
    <s v="HDKFB06"/>
    <x v="1"/>
    <x v="1"/>
    <x v="6"/>
    <x v="1"/>
    <n v="5.56"/>
    <m/>
    <n v="0"/>
    <n v="148"/>
    <n v="2"/>
    <n v="600000"/>
    <m/>
    <x v="1"/>
    <n v="100000000000000"/>
    <m/>
    <n v="1.7"/>
    <n v="0.7"/>
    <m/>
    <n v="0.98614800000000002"/>
    <n v="0.32871600000000001"/>
    <n v="128.69"/>
    <n v="42.896666666666668"/>
    <n v="171.15769999999998"/>
    <n v="57.052566666666657"/>
    <n v="11.410513333333331"/>
    <n v="11.739229333333331"/>
    <n v="25"/>
    <n v="25"/>
    <m/>
  </r>
  <r>
    <d v="2018-07-03T00:00:00"/>
    <x v="2"/>
    <s v="L200"/>
    <x v="1"/>
    <x v="1"/>
    <x v="4"/>
    <x v="1"/>
    <n v="5.56"/>
    <m/>
    <n v="0"/>
    <m/>
    <n v="2"/>
    <m/>
    <m/>
    <x v="1"/>
    <n v="100000000000000"/>
    <m/>
    <n v="1.5"/>
    <n v="0.55000000000000004"/>
    <m/>
    <n v="0.81083280000000013"/>
    <n v="0.81083280000000013"/>
    <n v="44.99"/>
    <n v="44.99"/>
    <n v="59.8367"/>
    <n v="59.8367"/>
    <n v="11.96734"/>
    <n v="12.7781728"/>
    <n v="23"/>
    <n v="24"/>
    <m/>
  </r>
  <r>
    <d v="2018-07-03T00:00:00"/>
    <x v="2"/>
    <s v="L200"/>
    <x v="1"/>
    <x v="1"/>
    <x v="5"/>
    <x v="1"/>
    <m/>
    <m/>
    <n v="0"/>
    <m/>
    <n v="2"/>
    <m/>
    <m/>
    <x v="1"/>
    <n v="100000000000000"/>
    <m/>
    <m/>
    <m/>
    <m/>
    <n v="0"/>
    <n v="0"/>
    <n v="97.03"/>
    <n v="48.515000000000001"/>
    <n v="129.04990000000001"/>
    <n v="64.524950000000004"/>
    <n v="12.904990000000002"/>
    <n v="12.904990000000002"/>
    <n v="23"/>
    <n v="24"/>
    <m/>
  </r>
  <r>
    <d v="2018-07-17T00:00:00"/>
    <x v="2"/>
    <s v="N300"/>
    <x v="0"/>
    <x v="0"/>
    <x v="0"/>
    <x v="0"/>
    <n v="4.17"/>
    <m/>
    <n v="0.33333333333333326"/>
    <n v="200"/>
    <n v="3"/>
    <n v="300000"/>
    <n v="180"/>
    <x v="0"/>
    <n v="100000000000000"/>
    <m/>
    <n v="9.6"/>
    <n v="5.2"/>
    <m/>
    <n v="6.6619776000000011"/>
    <n v="1.6654944000000003"/>
    <n v="99.99"/>
    <n v="24.997499999999999"/>
    <n v="121.98779999999999"/>
    <n v="30.496949999999998"/>
    <n v="6.0993899999999996"/>
    <n v="7.7648843999999997"/>
    <n v="30"/>
    <n v="34"/>
    <m/>
  </r>
  <r>
    <d v="2018-07-17T00:00:00"/>
    <x v="2"/>
    <s v="N300"/>
    <x v="0"/>
    <x v="0"/>
    <x v="1"/>
    <x v="0"/>
    <n v="4.17"/>
    <m/>
    <n v="0.33333333333333326"/>
    <n v="210"/>
    <n v="3"/>
    <n v="300000"/>
    <n v="180"/>
    <x v="0"/>
    <n v="100000000000000"/>
    <m/>
    <n v="10.1"/>
    <n v="6.7"/>
    <m/>
    <n v="8.0864136000000002"/>
    <n v="1.3477356"/>
    <n v="189.99"/>
    <n v="31.665000000000003"/>
    <n v="231.7878"/>
    <n v="38.631300000000003"/>
    <n v="7.7262600000000008"/>
    <n v="9.0739955999999999"/>
    <n v="33"/>
    <n v="35"/>
    <m/>
  </r>
  <r>
    <d v="2018-07-17T00:00:00"/>
    <x v="2"/>
    <s v="N300"/>
    <x v="0"/>
    <x v="0"/>
    <x v="2"/>
    <x v="0"/>
    <n v="4.17"/>
    <m/>
    <n v="0.33333333333333326"/>
    <n v="240"/>
    <n v="3"/>
    <n v="300000"/>
    <n v="180"/>
    <x v="0"/>
    <n v="100000000000000"/>
    <m/>
    <n v="9.1999999999999993"/>
    <n v="6.2"/>
    <m/>
    <n v="7.4508960000000002"/>
    <n v="0.93136200000000002"/>
    <n v="245"/>
    <n v="30.625"/>
    <n v="298.89999999999998"/>
    <n v="37.362499999999997"/>
    <n v="7.4724999999999993"/>
    <n v="8.4038620000000002"/>
    <n v="33"/>
    <n v="35"/>
    <m/>
  </r>
  <r>
    <d v="2018-07-18T00:00:00"/>
    <x v="2"/>
    <s v="N300"/>
    <x v="0"/>
    <x v="0"/>
    <x v="3"/>
    <x v="0"/>
    <n v="4.17"/>
    <m/>
    <n v="0.33333333333333326"/>
    <n v="240"/>
    <n v="3"/>
    <n v="300000"/>
    <n v="180"/>
    <x v="0"/>
    <n v="100000000000000"/>
    <m/>
    <n v="9.1999999999999993"/>
    <n v="7.2"/>
    <m/>
    <n v="8.3274720000000002"/>
    <n v="0.83274720000000002"/>
    <m/>
    <s v=""/>
    <n v="0"/>
    <s v=""/>
    <s v=""/>
    <s v=""/>
    <n v="34"/>
    <n v="35"/>
    <m/>
  </r>
  <r>
    <d v="2018-07-23T00:00:00"/>
    <x v="2"/>
    <s v="P300"/>
    <x v="3"/>
    <x v="0"/>
    <x v="4"/>
    <x v="0"/>
    <n v="4.17"/>
    <m/>
    <n v="0.33333333333333326"/>
    <m/>
    <n v="2"/>
    <m/>
    <m/>
    <x v="1"/>
    <n v="100000000000000"/>
    <m/>
    <n v="6.4"/>
    <n v="3.7"/>
    <m/>
    <n v="4.6458528000000001"/>
    <n v="4.6458528000000001"/>
    <n v="39.99"/>
    <n v="39.99"/>
    <n v="53.186700000000002"/>
    <n v="53.186700000000002"/>
    <n v="10.63734"/>
    <n v="15.2831928"/>
    <n v="24"/>
    <n v="26"/>
    <m/>
  </r>
  <r>
    <d v="2018-08-09T00:00:00"/>
    <x v="2"/>
    <s v="P300"/>
    <x v="3"/>
    <x v="0"/>
    <x v="5"/>
    <x v="0"/>
    <n v="4.17"/>
    <m/>
    <n v="0.33333333333333326"/>
    <m/>
    <n v="2"/>
    <m/>
    <m/>
    <x v="1"/>
    <n v="100000000000000"/>
    <m/>
    <n v="6.4"/>
    <n v="5.2"/>
    <m/>
    <n v="5.960716800000001"/>
    <n v="2.9803584000000005"/>
    <n v="48.99"/>
    <n v="24.495000000000001"/>
    <n v="65.156700000000001"/>
    <n v="32.57835"/>
    <n v="6.5156700000000001"/>
    <n v="9.4960284000000001"/>
    <n v="27"/>
    <n v="28"/>
    <m/>
  </r>
  <r>
    <d v="2018-08-22T00:00:00"/>
    <x v="2"/>
    <s v="P300"/>
    <x v="3"/>
    <x v="0"/>
    <x v="6"/>
    <x v="0"/>
    <n v="4.17"/>
    <m/>
    <n v="0.33333333333333326"/>
    <m/>
    <n v="2"/>
    <m/>
    <m/>
    <x v="1"/>
    <n v="100000000000000"/>
    <m/>
    <n v="6.4"/>
    <n v="5.2"/>
    <m/>
    <n v="5.960716800000001"/>
    <n v="1.9869056000000003"/>
    <n v="64.989999999999995"/>
    <n v="21.66333333333333"/>
    <n v="86.436700000000002"/>
    <n v="28.812233333333335"/>
    <n v="5.7624466666666674"/>
    <n v="7.7493522666666674"/>
    <n v="27"/>
    <n v="28"/>
    <m/>
  </r>
  <r>
    <d v="2018-07-17T00:00:00"/>
    <x v="2"/>
    <s v="X300"/>
    <x v="3"/>
    <x v="0"/>
    <x v="0"/>
    <x v="0"/>
    <n v="4.17"/>
    <m/>
    <n v="0.33333333333333326"/>
    <m/>
    <n v="2"/>
    <m/>
    <m/>
    <x v="1"/>
    <n v="100000000000000"/>
    <m/>
    <n v="11.3"/>
    <n v="6"/>
    <m/>
    <n v="7.7357832000000002"/>
    <n v="1.9339458"/>
    <n v="93.49"/>
    <n v="23.372499999999999"/>
    <n v="124.34169999999999"/>
    <n v="31.085424999999997"/>
    <n v="6.2170849999999991"/>
    <n v="8.1510307999999991"/>
    <n v="31"/>
    <m/>
    <m/>
  </r>
  <r>
    <d v="2018-08-07T00:00:00"/>
    <x v="2"/>
    <s v="X300"/>
    <x v="3"/>
    <x v="0"/>
    <x v="7"/>
    <x v="0"/>
    <n v="4.17"/>
    <m/>
    <n v="0.33333333333333326"/>
    <m/>
    <n v="2"/>
    <m/>
    <m/>
    <x v="1"/>
    <n v="100000000000000"/>
    <m/>
    <n v="11.3"/>
    <n v="6"/>
    <m/>
    <n v="7.7357832000000002"/>
    <n v="1.5471566400000001"/>
    <n v="109.99"/>
    <n v="21.997999999999998"/>
    <n v="146.2867"/>
    <n v="29.257339999999999"/>
    <n v="5.8514679999999997"/>
    <n v="7.3986246399999995"/>
    <n v="31"/>
    <m/>
    <m/>
  </r>
  <r>
    <d v="2018-08-22T00:00:00"/>
    <x v="2"/>
    <s v="X300"/>
    <x v="3"/>
    <x v="0"/>
    <x v="1"/>
    <x v="0"/>
    <n v="4.17"/>
    <m/>
    <n v="0.33333333333333326"/>
    <m/>
    <n v="2"/>
    <m/>
    <m/>
    <x v="1"/>
    <n v="100000000000000"/>
    <m/>
    <n v="11.3"/>
    <n v="6"/>
    <m/>
    <n v="7.7357832000000002"/>
    <n v="1.2892972"/>
    <n v="159.99"/>
    <n v="26.665000000000003"/>
    <n v="212.7867"/>
    <n v="35.464449999999999"/>
    <n v="7.0928899999999997"/>
    <n v="8.3821872000000006"/>
    <n v="34"/>
    <m/>
    <m/>
  </r>
  <r>
    <d v="2018-07-17T00:00:00"/>
    <x v="2"/>
    <s v="X300"/>
    <x v="3"/>
    <x v="0"/>
    <x v="2"/>
    <x v="0"/>
    <n v="4.17"/>
    <m/>
    <n v="0.33333333333333326"/>
    <m/>
    <n v="2"/>
    <m/>
    <m/>
    <x v="1"/>
    <n v="100000000000000"/>
    <m/>
    <n v="11.3"/>
    <n v="6"/>
    <m/>
    <n v="7.7357832000000002"/>
    <n v="0.96697290000000002"/>
    <n v="242.39"/>
    <n v="30.298749999999998"/>
    <n v="327.16669999999999"/>
    <n v="40.895837499999999"/>
    <n v="8.1791675000000001"/>
    <n v="9.1461404000000002"/>
    <n v="34"/>
    <m/>
    <m/>
  </r>
  <r>
    <d v="2018-07-17T00:00:00"/>
    <x v="2"/>
    <s v="X300"/>
    <x v="3"/>
    <x v="0"/>
    <x v="3"/>
    <x v="0"/>
    <n v="4.17"/>
    <m/>
    <n v="0.33333333333333326"/>
    <m/>
    <n v="2"/>
    <m/>
    <m/>
    <x v="1"/>
    <n v="100000000000000"/>
    <m/>
    <m/>
    <m/>
    <m/>
    <n v="0"/>
    <n v="0"/>
    <n v="374.6"/>
    <n v="37.46"/>
    <n v="498.21800000000002"/>
    <n v="49.821800000000003"/>
    <n v="9.964360000000001"/>
    <n v="9.964360000000001"/>
    <m/>
    <m/>
    <m/>
  </r>
  <r>
    <d v="2018-03-07T00:00:00"/>
    <x v="3"/>
    <s v="Ae"/>
    <x v="0"/>
    <x v="0"/>
    <x v="1"/>
    <x v="7"/>
    <m/>
    <m/>
    <n v="6.6666666666666652E-2"/>
    <n v="150"/>
    <n v="3"/>
    <n v="300000"/>
    <m/>
    <x v="6"/>
    <n v="100000000000000"/>
    <m/>
    <n v="6.5"/>
    <n v="4.8"/>
    <m/>
    <n v="5.6320008000000001"/>
    <n v="0.93866680000000002"/>
    <n v="236"/>
    <n v="39.333333333333336"/>
    <n v="287.92"/>
    <n v="47.986666666666672"/>
    <n v="9.597333333333335"/>
    <n v="10.536000133333335"/>
    <m/>
    <m/>
    <m/>
  </r>
  <r>
    <d v="2018-01-30T00:00:00"/>
    <x v="3"/>
    <s v="Black"/>
    <x v="1"/>
    <x v="1"/>
    <x v="4"/>
    <x v="0"/>
    <m/>
    <m/>
    <n v="0.33333333333333326"/>
    <m/>
    <n v="5"/>
    <n v="600000"/>
    <m/>
    <x v="1"/>
    <n v="100000000000000"/>
    <n v="5.5"/>
    <n v="1.8"/>
    <n v="0.8"/>
    <n v="0.2"/>
    <n v="1.09572"/>
    <n v="1.09572"/>
    <n v="59.99"/>
    <n v="59.99"/>
    <n v="59.99"/>
    <n v="59.99"/>
    <n v="11.998000000000001"/>
    <n v="13.093720000000001"/>
    <n v="25"/>
    <n v="27"/>
    <m/>
  </r>
  <r>
    <d v="2018-08-22T00:00:00"/>
    <x v="3"/>
    <s v="Black"/>
    <x v="3"/>
    <x v="0"/>
    <x v="4"/>
    <x v="0"/>
    <m/>
    <m/>
    <n v="0.33333333333333326"/>
    <n v="150"/>
    <n v="5"/>
    <n v="300000"/>
    <m/>
    <x v="1"/>
    <n v="100000000000000"/>
    <m/>
    <n v="6.8"/>
    <n v="6.1"/>
    <n v="0.8"/>
    <n v="6.8372928000000002"/>
    <n v="6.8372928000000002"/>
    <n v="54.99"/>
    <n v="54.99"/>
    <n v="54.99"/>
    <n v="54.99"/>
    <n v="10.998000000000001"/>
    <n v="17.835292800000001"/>
    <n v="29"/>
    <n v="30"/>
    <m/>
  </r>
  <r>
    <d v="2018-08-22T00:00:00"/>
    <x v="3"/>
    <s v="Black"/>
    <x v="3"/>
    <x v="0"/>
    <x v="5"/>
    <x v="0"/>
    <m/>
    <m/>
    <n v="0.33333333333333326"/>
    <n v="164"/>
    <n v="5"/>
    <n v="300000"/>
    <m/>
    <x v="1"/>
    <n v="100000000000000"/>
    <m/>
    <n v="9.5"/>
    <n v="8.1"/>
    <n v="1.3"/>
    <n v="9.1821336000000002"/>
    <n v="4.5910668000000001"/>
    <n v="99.99"/>
    <n v="49.994999999999997"/>
    <n v="99.99"/>
    <n v="49.994999999999997"/>
    <n v="9.9989999999999988"/>
    <n v="14.590066799999999"/>
    <n v="29"/>
    <n v="34"/>
    <m/>
  </r>
  <r>
    <d v="2018-07-17T00:00:00"/>
    <x v="3"/>
    <s v="Black"/>
    <x v="3"/>
    <x v="0"/>
    <x v="0"/>
    <x v="0"/>
    <m/>
    <m/>
    <n v="0.33333333333333326"/>
    <n v="202"/>
    <n v="5"/>
    <n v="300000"/>
    <m/>
    <x v="1"/>
    <n v="100000000000000"/>
    <m/>
    <n v="9.1"/>
    <n v="5.8"/>
    <n v="1"/>
    <n v="7.0783512000000002"/>
    <n v="1.7695878"/>
    <n v="182.99"/>
    <n v="45.747500000000002"/>
    <n v="182.99"/>
    <n v="45.747500000000002"/>
    <n v="9.1494999999999997"/>
    <n v="10.9190878"/>
    <n v="29"/>
    <n v="36"/>
    <m/>
  </r>
  <r>
    <d v="2018-08-22T00:00:00"/>
    <x v="3"/>
    <s v="Black"/>
    <x v="3"/>
    <x v="0"/>
    <x v="1"/>
    <x v="0"/>
    <m/>
    <m/>
    <n v="0.33333333333333326"/>
    <n v="227"/>
    <n v="5"/>
    <n v="300000"/>
    <m/>
    <x v="1"/>
    <n v="100000000000000"/>
    <m/>
    <n v="9.1"/>
    <n v="7.1"/>
    <n v="1"/>
    <n v="8.2179000000000002"/>
    <n v="1.36965"/>
    <n v="209.995"/>
    <n v="34.999166666666667"/>
    <n v="209.995"/>
    <n v="34.999166666666667"/>
    <n v="6.9998333333333331"/>
    <n v="8.3694833333333332"/>
    <n v="29"/>
    <n v="36"/>
    <m/>
  </r>
  <r>
    <d v="2018-07-03T00:00:00"/>
    <x v="3"/>
    <s v="Blue"/>
    <x v="1"/>
    <x v="1"/>
    <x v="4"/>
    <x v="1"/>
    <m/>
    <m/>
    <n v="0"/>
    <m/>
    <n v="2"/>
    <n v="600000"/>
    <m/>
    <x v="1"/>
    <n v="100000000000000"/>
    <n v="5"/>
    <n v="1.5"/>
    <n v="0.5"/>
    <n v="0.1"/>
    <n v="0.76700400000000002"/>
    <n v="0.76700400000000002"/>
    <n v="44.99"/>
    <n v="44.99"/>
    <n v="59.8367"/>
    <n v="59.8367"/>
    <n v="11.96734"/>
    <n v="12.734344"/>
    <m/>
    <m/>
    <m/>
  </r>
  <r>
    <d v="2018-01-14T00:00:00"/>
    <x v="3"/>
    <s v="Blue"/>
    <x v="1"/>
    <x v="1"/>
    <x v="5"/>
    <x v="1"/>
    <m/>
    <m/>
    <n v="0"/>
    <m/>
    <n v="2"/>
    <n v="600000"/>
    <m/>
    <x v="1"/>
    <n v="100000000000000"/>
    <n v="5"/>
    <n v="1.7"/>
    <n v="0.8"/>
    <n v="0.2"/>
    <n v="1.0738056"/>
    <n v="0.53690280000000001"/>
    <n v="136.25"/>
    <n v="68.125"/>
    <n v="181.21250000000001"/>
    <n v="90.606250000000003"/>
    <n v="18.12125"/>
    <n v="18.6581528"/>
    <m/>
    <m/>
    <m/>
  </r>
  <r>
    <d v="2018-08-02T00:00:00"/>
    <x v="3"/>
    <s v="Blue"/>
    <x v="3"/>
    <x v="0"/>
    <x v="4"/>
    <x v="1"/>
    <m/>
    <m/>
    <n v="0"/>
    <n v="150"/>
    <n v="2"/>
    <n v="300000"/>
    <m/>
    <x v="1"/>
    <n v="100000000000000"/>
    <m/>
    <n v="3.3"/>
    <n v="2.5"/>
    <n v="0.4"/>
    <n v="2.9146152000000001"/>
    <n v="2.9146152000000001"/>
    <n v="44.99"/>
    <n v="44.99"/>
    <n v="59.8367"/>
    <n v="59.8367"/>
    <n v="11.96734"/>
    <n v="14.8819552"/>
    <n v="21"/>
    <n v="24"/>
    <m/>
  </r>
  <r>
    <d v="2018-08-22T00:00:00"/>
    <x v="3"/>
    <s v="Blue"/>
    <x v="3"/>
    <x v="0"/>
    <x v="5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7641092"/>
    <n v="54.99"/>
    <n v="27.495000000000001"/>
    <n v="73.136700000000005"/>
    <n v="36.568350000000002"/>
    <n v="7.3136700000000001"/>
    <n v="9.0777792000000002"/>
    <n v="23"/>
    <n v="27"/>
    <m/>
  </r>
  <r>
    <d v="2018-07-17T00:00:00"/>
    <x v="3"/>
    <s v="Blue"/>
    <x v="3"/>
    <x v="0"/>
    <x v="6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1760728"/>
    <n v="91.99"/>
    <n v="30.66333333333333"/>
    <n v="122.3467"/>
    <n v="40.78223333333333"/>
    <n v="8.1564466666666657"/>
    <n v="9.3325194666666658"/>
    <n v="23"/>
    <n v="27"/>
    <m/>
  </r>
  <r>
    <d v="2018-07-17T00:00:00"/>
    <x v="3"/>
    <s v="Blue"/>
    <x v="3"/>
    <x v="0"/>
    <x v="0"/>
    <x v="1"/>
    <m/>
    <m/>
    <n v="0"/>
    <n v="150"/>
    <n v="2"/>
    <n v="300000"/>
    <m/>
    <x v="1"/>
    <n v="100000000000000"/>
    <n v="21"/>
    <n v="5.3"/>
    <n v="3.4"/>
    <n v="0.4"/>
    <n v="4.1418216000000001"/>
    <n v="1.0354554"/>
    <n v="104.99"/>
    <n v="26.247499999999999"/>
    <n v="139.63669999999999"/>
    <n v="34.909174999999998"/>
    <n v="6.9818349999999993"/>
    <n v="8.0172904000000003"/>
    <n v="25"/>
    <n v="28"/>
    <m/>
  </r>
  <r>
    <d v="2018-07-17T00:00:00"/>
    <x v="3"/>
    <s v="Blue"/>
    <x v="3"/>
    <x v="0"/>
    <x v="1"/>
    <x v="1"/>
    <m/>
    <m/>
    <n v="0"/>
    <n v="175"/>
    <n v="2"/>
    <n v="300000"/>
    <m/>
    <x v="1"/>
    <n v="100000000000000"/>
    <n v="21"/>
    <n v="5.3"/>
    <n v="3.4"/>
    <n v="0.4"/>
    <n v="4.1418216000000001"/>
    <n v="0.69030360000000002"/>
    <n v="176.99"/>
    <n v="29.498333333333335"/>
    <n v="235.39670000000001"/>
    <n v="39.232783333333337"/>
    <n v="7.8465566666666673"/>
    <n v="8.5368602666666682"/>
    <n v="25"/>
    <n v="28"/>
    <m/>
  </r>
  <r>
    <d v="2018-07-25T00:00:00"/>
    <x v="3"/>
    <s v="Gold Enterprise"/>
    <x v="0"/>
    <x v="0"/>
    <x v="4"/>
    <x v="0"/>
    <m/>
    <m/>
    <n v="0.33333333333333326"/>
    <n v="184"/>
    <n v="5"/>
    <n v="600000"/>
    <n v="550"/>
    <x v="2"/>
    <n v="1000000000000000"/>
    <m/>
    <n v="8.1"/>
    <n v="5.9"/>
    <m/>
    <n v="6.9468648000000002"/>
    <n v="6.9468648000000002"/>
    <n v="72.995000000000005"/>
    <n v="72.995000000000005"/>
    <n v="72.995000000000005"/>
    <n v="72.995000000000005"/>
    <n v="14.599"/>
    <n v="21.5458648"/>
    <n v="25"/>
    <n v="28"/>
    <m/>
  </r>
  <r>
    <d v="2018-07-27T00:00:00"/>
    <x v="3"/>
    <s v="Gold Enterprise"/>
    <x v="0"/>
    <x v="0"/>
    <x v="5"/>
    <x v="0"/>
    <m/>
    <m/>
    <n v="0.33333333333333326"/>
    <n v="200"/>
    <n v="5"/>
    <n v="600000"/>
    <n v="550"/>
    <x v="2"/>
    <n v="1000000000000000"/>
    <m/>
    <n v="8.1"/>
    <n v="5.9"/>
    <m/>
    <n v="6.9468648000000002"/>
    <n v="3.4734324000000001"/>
    <n v="109.99"/>
    <n v="54.994999999999997"/>
    <n v="109.99"/>
    <n v="54.994999999999997"/>
    <n v="10.998999999999999"/>
    <n v="14.472432399999999"/>
    <n v="25"/>
    <n v="28"/>
    <m/>
  </r>
  <r>
    <d v="2018-07-26T00:00:00"/>
    <x v="3"/>
    <s v="Gold Enterprise"/>
    <x v="0"/>
    <x v="0"/>
    <x v="0"/>
    <x v="0"/>
    <m/>
    <m/>
    <n v="0.33333333333333326"/>
    <n v="201"/>
    <n v="5"/>
    <n v="600000"/>
    <n v="550"/>
    <x v="2"/>
    <n v="1000000000000000"/>
    <m/>
    <n v="9"/>
    <n v="7"/>
    <m/>
    <n v="8.1083280000000002"/>
    <n v="2.0270820000000001"/>
    <n v="164.99"/>
    <n v="41.247500000000002"/>
    <n v="164.99"/>
    <n v="41.247500000000002"/>
    <n v="8.2495000000000012"/>
    <n v="10.276582000000001"/>
    <n v="29"/>
    <n v="36"/>
    <m/>
  </r>
  <r>
    <d v="2018-08-04T00:00:00"/>
    <x v="3"/>
    <s v="Gold Enterprise"/>
    <x v="0"/>
    <x v="0"/>
    <x v="1"/>
    <x v="0"/>
    <m/>
    <m/>
    <n v="0.33333333333333326"/>
    <n v="226"/>
    <n v="5"/>
    <n v="600000"/>
    <n v="550"/>
    <x v="2"/>
    <n v="1000000000000000"/>
    <m/>
    <n v="9.3000000000000007"/>
    <n v="7.1"/>
    <m/>
    <n v="8.2617288000000002"/>
    <n v="1.3769548"/>
    <n v="224.99"/>
    <n v="37.498333333333335"/>
    <n v="224.99"/>
    <n v="37.498333333333335"/>
    <n v="7.4996666666666671"/>
    <n v="8.8766214666666663"/>
    <n v="29"/>
    <n v="36"/>
    <s v="Media caching"/>
  </r>
  <r>
    <d v="2018-07-17T00:00:00"/>
    <x v="3"/>
    <s v="Gold Enterprise"/>
    <x v="0"/>
    <x v="0"/>
    <x v="2"/>
    <x v="0"/>
    <m/>
    <m/>
    <n v="0.33333333333333326"/>
    <n v="205"/>
    <n v="5"/>
    <n v="600000"/>
    <n v="550"/>
    <x v="3"/>
    <n v="1000000000000000"/>
    <m/>
    <n v="7.2"/>
    <n v="5.0999999999999996"/>
    <m/>
    <n v="6.0483743999999993"/>
    <n v="0.75604679999999991"/>
    <n v="324.89"/>
    <n v="40.611249999999998"/>
    <n v="324.89"/>
    <n v="40.611249999999998"/>
    <n v="8.1222499999999993"/>
    <n v="8.8782967999999993"/>
    <n v="20"/>
    <n v="36"/>
    <s v="Helium filled"/>
  </r>
  <r>
    <d v="2018-07-17T00:00:00"/>
    <x v="3"/>
    <s v="Gold Enterprise"/>
    <x v="0"/>
    <x v="0"/>
    <x v="3"/>
    <x v="0"/>
    <m/>
    <m/>
    <n v="0.33333333333333326"/>
    <n v="249"/>
    <n v="5"/>
    <n v="600000"/>
    <n v="550"/>
    <x v="3"/>
    <n v="1000000000000000"/>
    <m/>
    <n v="7.1"/>
    <n v="5"/>
    <m/>
    <n v="5.9388024000000001"/>
    <n v="0.59388024000000006"/>
    <n v="384.99"/>
    <n v="38.499000000000002"/>
    <n v="384.99"/>
    <n v="38.499000000000002"/>
    <n v="7.6998000000000006"/>
    <n v="8.2936802400000005"/>
    <n v="20"/>
    <n v="36"/>
    <s v="Helium filled"/>
  </r>
  <r>
    <d v="2018-07-17T00:00:00"/>
    <x v="3"/>
    <s v="Gold Enterprise"/>
    <x v="0"/>
    <x v="0"/>
    <x v="12"/>
    <x v="0"/>
    <n v="4.16"/>
    <m/>
    <n v="0.33333333333333326"/>
    <n v="255"/>
    <n v="5"/>
    <n v="600000"/>
    <n v="550"/>
    <x v="3"/>
    <n v="1000000000000000"/>
    <m/>
    <n v="7"/>
    <n v="5"/>
    <m/>
    <n v="5.9168880000000001"/>
    <n v="0.49307400000000001"/>
    <n v="499"/>
    <n v="41.583333333333336"/>
    <n v="499"/>
    <n v="41.583333333333336"/>
    <n v="8.3166666666666664"/>
    <n v="8.8097406666666664"/>
    <n v="20"/>
    <n v="36"/>
    <s v="Helium filled"/>
  </r>
  <r>
    <d v="2018-07-17T00:00:00"/>
    <x v="3"/>
    <s v="Red NAS"/>
    <x v="0"/>
    <x v="1"/>
    <x v="15"/>
    <x v="1"/>
    <m/>
    <m/>
    <n v="0"/>
    <n v="144"/>
    <n v="3"/>
    <n v="600000"/>
    <n v="180"/>
    <x v="0"/>
    <n v="100000000000000"/>
    <n v="5"/>
    <n v="1.4"/>
    <n v="0.6"/>
    <n v="0.2"/>
    <n v="0.83274720000000002"/>
    <n v="1.1103296"/>
    <n v="61.97"/>
    <n v="82.626666666666665"/>
    <n v="75.603399999999993"/>
    <n v="100.80453333333332"/>
    <n v="20.160906666666666"/>
    <n v="21.271236266666666"/>
    <m/>
    <m/>
    <m/>
  </r>
  <r>
    <d v="2018-07-17T00:00:00"/>
    <x v="3"/>
    <s v="Red NAS"/>
    <x v="0"/>
    <x v="1"/>
    <x v="4"/>
    <x v="1"/>
    <m/>
    <m/>
    <n v="0"/>
    <n v="144"/>
    <n v="3"/>
    <n v="600000"/>
    <n v="180"/>
    <x v="0"/>
    <n v="100000000000000"/>
    <n v="5"/>
    <n v="1.4"/>
    <n v="0.6"/>
    <n v="0.2"/>
    <n v="0.83274720000000002"/>
    <n v="0.83274720000000002"/>
    <n v="72.23"/>
    <n v="72.23"/>
    <n v="88.12060000000001"/>
    <n v="88.12060000000001"/>
    <n v="17.624120000000001"/>
    <n v="18.456867200000001"/>
    <m/>
    <m/>
    <m/>
  </r>
  <r>
    <d v="2018-07-03T00:00:00"/>
    <x v="3"/>
    <s v="Red NAS"/>
    <x v="0"/>
    <x v="0"/>
    <x v="4"/>
    <x v="1"/>
    <m/>
    <m/>
    <n v="0"/>
    <n v="150"/>
    <n v="3"/>
    <n v="600000"/>
    <n v="180"/>
    <x v="0"/>
    <n v="100000000000000"/>
    <n v="14.399999999999999"/>
    <n v="3.3"/>
    <n v="2.2999999999999998"/>
    <n v="0.4"/>
    <n v="2.7393000000000001"/>
    <n v="2.7393000000000001"/>
    <n v="62"/>
    <n v="62"/>
    <n v="75.64"/>
    <n v="75.64"/>
    <n v="15.128"/>
    <n v="17.8673"/>
    <n v="21"/>
    <n v="22"/>
    <m/>
  </r>
  <r>
    <d v="2018-07-17T00:00:00"/>
    <x v="3"/>
    <s v="Red NAS"/>
    <x v="0"/>
    <x v="0"/>
    <x v="5"/>
    <x v="1"/>
    <m/>
    <m/>
    <n v="0"/>
    <n v="147"/>
    <n v="3"/>
    <n v="600000"/>
    <n v="180"/>
    <x v="0"/>
    <n v="100000000000000"/>
    <n v="20.759999999999998"/>
    <n v="4.0999999999999996"/>
    <n v="2.7"/>
    <n v="0.4"/>
    <n v="3.2652456000000005"/>
    <n v="1.6326228000000003"/>
    <n v="83.99"/>
    <n v="41.994999999999997"/>
    <n v="102.4678"/>
    <n v="51.233899999999998"/>
    <n v="10.246779999999999"/>
    <n v="11.879402799999999"/>
    <n v="23"/>
    <n v="24"/>
    <m/>
  </r>
  <r>
    <d v="2018-08-02T00:00:00"/>
    <x v="3"/>
    <s v="Red NAS"/>
    <x v="0"/>
    <x v="0"/>
    <x v="6"/>
    <x v="1"/>
    <m/>
    <n v="8.9"/>
    <n v="0"/>
    <n v="147"/>
    <n v="3"/>
    <n v="600000"/>
    <n v="180"/>
    <x v="0"/>
    <n v="100000000000000"/>
    <n v="20.759999999999998"/>
    <n v="4.0999999999999996"/>
    <n v="2.7"/>
    <n v="0.4"/>
    <n v="3.2652456000000005"/>
    <n v="1.0884152000000002"/>
    <n v="102.99"/>
    <n v="34.33"/>
    <n v="125.64779999999999"/>
    <n v="41.882599999999996"/>
    <n v="8.3765199999999993"/>
    <n v="9.4649351999999993"/>
    <n v="23"/>
    <n v="24"/>
    <m/>
  </r>
  <r>
    <d v="2018-08-22T00:00:00"/>
    <x v="3"/>
    <s v="Red NAS"/>
    <x v="0"/>
    <x v="0"/>
    <x v="0"/>
    <x v="1"/>
    <m/>
    <m/>
    <n v="0"/>
    <n v="150"/>
    <n v="3"/>
    <n v="600000"/>
    <n v="180"/>
    <x v="0"/>
    <n v="100000000000000"/>
    <n v="21"/>
    <n v="4.5"/>
    <n v="3.3"/>
    <n v="0.4"/>
    <n v="3.8788488000000001"/>
    <n v="0.96971220000000002"/>
    <n v="117.99"/>
    <n v="29.497499999999999"/>
    <n v="143.9478"/>
    <n v="35.98695"/>
    <n v="7.1973900000000004"/>
    <n v="8.1671022000000004"/>
    <n v="25"/>
    <n v="28"/>
    <m/>
  </r>
  <r>
    <d v="2018-01-30T00:00:00"/>
    <x v="3"/>
    <s v="Red NAS"/>
    <x v="0"/>
    <x v="0"/>
    <x v="7"/>
    <x v="1"/>
    <m/>
    <m/>
    <n v="0"/>
    <m/>
    <n v="3"/>
    <n v="600000"/>
    <n v="180"/>
    <x v="0"/>
    <n v="100000000000000"/>
    <n v="21"/>
    <n v="5.3"/>
    <n v="3.4"/>
    <n v="0.4"/>
    <n v="4.1418216000000001"/>
    <n v="0.82836432000000004"/>
    <n v="248.99"/>
    <n v="49.798000000000002"/>
    <n v="303.76780000000002"/>
    <n v="60.753560000000007"/>
    <n v="12.150712000000002"/>
    <n v="12.979076320000003"/>
    <m/>
    <m/>
    <m/>
  </r>
  <r>
    <d v="2018-08-03T00:00:00"/>
    <x v="3"/>
    <s v="Red NAS"/>
    <x v="0"/>
    <x v="0"/>
    <x v="1"/>
    <x v="1"/>
    <m/>
    <m/>
    <n v="0"/>
    <n v="175"/>
    <n v="3"/>
    <n v="600000"/>
    <n v="180"/>
    <x v="0"/>
    <n v="100000000000000"/>
    <n v="21"/>
    <n v="5.3"/>
    <n v="3.4"/>
    <n v="0.4"/>
    <n v="4.1418216000000001"/>
    <n v="0.69030360000000002"/>
    <n v="172.995"/>
    <n v="28.8325"/>
    <n v="211.0539"/>
    <n v="35.175649999999997"/>
    <n v="7.0351299999999997"/>
    <n v="7.7254335999999997"/>
    <n v="25"/>
    <n v="28"/>
    <m/>
  </r>
  <r>
    <d v="2018-07-03T00:00:00"/>
    <x v="3"/>
    <s v="Red NAS"/>
    <x v="0"/>
    <x v="0"/>
    <x v="2"/>
    <x v="1"/>
    <m/>
    <m/>
    <n v="0"/>
    <n v="178"/>
    <n v="3"/>
    <n v="600000"/>
    <n v="180"/>
    <x v="0"/>
    <n v="100000000000000"/>
    <n v="21.48"/>
    <n v="6.4"/>
    <n v="5.2"/>
    <n v="0.7"/>
    <n v="5.960716800000001"/>
    <n v="0.74508960000000013"/>
    <n v="274.99"/>
    <n v="34.373750000000001"/>
    <n v="335.48779999999999"/>
    <n v="41.935974999999999"/>
    <n v="8.3871950000000002"/>
    <n v="9.1322846000000002"/>
    <n v="20"/>
    <n v="29"/>
    <s v="Helium filled"/>
  </r>
  <r>
    <d v="2018-07-03T00:00:00"/>
    <x v="3"/>
    <s v="Red NAS"/>
    <x v="0"/>
    <x v="0"/>
    <x v="3"/>
    <x v="1"/>
    <m/>
    <m/>
    <n v="0"/>
    <n v="210"/>
    <n v="3"/>
    <n v="600000"/>
    <n v="180"/>
    <x v="0"/>
    <n v="100000000000000"/>
    <n v="21.48"/>
    <n v="5.7"/>
    <n v="2.8"/>
    <n v="0.5"/>
    <n v="3.7035336000000001"/>
    <n v="0.37035336000000002"/>
    <n v="324.99"/>
    <n v="32.499000000000002"/>
    <n v="396.48779999999999"/>
    <n v="39.648780000000002"/>
    <n v="7.9297560000000002"/>
    <n v="8.3001093600000004"/>
    <n v="20"/>
    <n v="29"/>
    <s v="Helium filled"/>
  </r>
  <r>
    <d v="2018-07-17T00:00:00"/>
    <x v="3"/>
    <s v="RED NAS Pro"/>
    <x v="0"/>
    <x v="0"/>
    <x v="5"/>
    <x v="0"/>
    <m/>
    <m/>
    <n v="0.33333333333333326"/>
    <n v="164"/>
    <n v="5"/>
    <n v="600000"/>
    <n v="300"/>
    <x v="0"/>
    <n v="1000000000000000"/>
    <n v="22.799999999999997"/>
    <n v="7.8"/>
    <n v="6"/>
    <n v="1.4"/>
    <n v="6.9687792000000002"/>
    <n v="3.4843896000000001"/>
    <n v="109.99"/>
    <n v="54.994999999999997"/>
    <n v="109.99"/>
    <n v="54.994999999999997"/>
    <n v="10.998999999999999"/>
    <n v="14.483389599999999"/>
    <n v="31"/>
    <n v="34"/>
    <m/>
  </r>
  <r>
    <d v="2018-07-17T00:00:00"/>
    <x v="3"/>
    <s v="RED NAS Pro"/>
    <x v="0"/>
    <x v="0"/>
    <x v="6"/>
    <x v="0"/>
    <m/>
    <m/>
    <n v="0.33333333333333326"/>
    <m/>
    <n v="5"/>
    <n v="600000"/>
    <n v="300"/>
    <x v="0"/>
    <n v="1000000000000000"/>
    <n v="22.799999999999997"/>
    <n v="8.6"/>
    <n v="6.5"/>
    <n v="0.6"/>
    <n v="7.5823824000000002"/>
    <n v="2.5274608000000001"/>
    <n v="233.89"/>
    <n v="77.963333333333324"/>
    <n v="233.89"/>
    <n v="77.963333333333324"/>
    <n v="15.592666666666664"/>
    <n v="18.120127466666666"/>
    <m/>
    <m/>
    <m/>
  </r>
  <r>
    <d v="2018-07-26T00:00:00"/>
    <x v="3"/>
    <s v="RED NAS Pro"/>
    <x v="0"/>
    <x v="0"/>
    <x v="0"/>
    <x v="0"/>
    <m/>
    <m/>
    <n v="0.33333333333333326"/>
    <n v="202"/>
    <n v="5"/>
    <n v="600000"/>
    <n v="300"/>
    <x v="0"/>
    <n v="1000000000000000"/>
    <n v="21.48"/>
    <n v="9.1"/>
    <n v="7.1"/>
    <n v="1"/>
    <n v="8.2179000000000002"/>
    <n v="2.0544750000000001"/>
    <n v="193.99"/>
    <n v="48.497500000000002"/>
    <n v="193.99"/>
    <n v="48.497500000000002"/>
    <n v="9.6995000000000005"/>
    <n v="11.753975000000001"/>
    <n v="29"/>
    <n v="36"/>
    <m/>
  </r>
  <r>
    <d v="2018-07-03T00:00:00"/>
    <x v="3"/>
    <s v="RED NAS Pro"/>
    <x v="0"/>
    <x v="0"/>
    <x v="1"/>
    <x v="0"/>
    <m/>
    <m/>
    <n v="0.33333333333333326"/>
    <n v="227"/>
    <n v="5"/>
    <n v="600000"/>
    <n v="300"/>
    <x v="0"/>
    <n v="1000000000000000"/>
    <n v="21.48"/>
    <n v="9.1"/>
    <n v="7.1"/>
    <n v="1"/>
    <n v="8.2179000000000002"/>
    <n v="1.36965"/>
    <n v="228.98999999999998"/>
    <n v="38.164999999999999"/>
    <n v="228.98999999999998"/>
    <n v="38.164999999999999"/>
    <n v="7.633"/>
    <n v="9.0026499999999992"/>
    <n v="29"/>
    <n v="36"/>
    <m/>
  </r>
  <r>
    <d v="2018-07-03T00:00:00"/>
    <x v="3"/>
    <s v="RED NAS Pro"/>
    <x v="0"/>
    <x v="0"/>
    <x v="2"/>
    <x v="0"/>
    <m/>
    <m/>
    <n v="0.33333333333333326"/>
    <n v="205"/>
    <n v="5"/>
    <n v="600000"/>
    <n v="300"/>
    <x v="0"/>
    <n v="1000000000000000"/>
    <n v="21.48"/>
    <n v="8.3000000000000007"/>
    <n v="5.2"/>
    <n v="1"/>
    <n v="6.377090400000001"/>
    <n v="0.79713630000000013"/>
    <n v="341.29"/>
    <n v="42.661250000000003"/>
    <n v="341.29"/>
    <n v="42.661250000000003"/>
    <n v="8.5322500000000012"/>
    <n v="9.3293863000000012"/>
    <n v="20"/>
    <n v="36"/>
    <s v="Helium filled"/>
  </r>
  <r>
    <d v="2018-08-22T00:00:00"/>
    <x v="3"/>
    <s v="RED NAS Pro"/>
    <x v="0"/>
    <x v="0"/>
    <x v="3"/>
    <x v="0"/>
    <m/>
    <m/>
    <n v="0.33333333333333326"/>
    <n v="240"/>
    <n v="5"/>
    <n v="600000"/>
    <n v="300"/>
    <x v="0"/>
    <n v="1000000000000000"/>
    <n v="21.6"/>
    <n v="5.7"/>
    <n v="2.8"/>
    <n v="0.5"/>
    <n v="3.7035336000000001"/>
    <n v="0.37035336000000002"/>
    <n v="369.99"/>
    <n v="36.999000000000002"/>
    <n v="369.99"/>
    <n v="36.999000000000002"/>
    <n v="7.3998000000000008"/>
    <n v="7.770153360000001"/>
    <n v="20"/>
    <n v="29"/>
    <s v="Helium filled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2">
  <r>
    <d v="2018-08-08T00:00:00"/>
    <s v="HGST"/>
    <s v="Deskstar NAS"/>
    <x v="0"/>
    <x v="0"/>
    <x v="0"/>
    <n v="7200"/>
    <m/>
    <n v="11.99"/>
    <n v="0.33333333333333326"/>
    <n v="202"/>
    <n v="3"/>
    <n v="600000"/>
    <m/>
    <n v="1000000"/>
    <n v="100000000000000"/>
    <n v="30"/>
    <m/>
    <n v="7.3"/>
    <m/>
    <s v=""/>
    <s v=""/>
    <n v="99.99"/>
    <n v="24.997499999999999"/>
    <n v="121.98779999999999"/>
    <n v="30.496949999999998"/>
    <n v="6.0993899999999996"/>
  </r>
  <r>
    <d v="2018-08-09T00:00:00"/>
    <s v="HGST"/>
    <s v="Deskstar NAS"/>
    <x v="0"/>
    <x v="0"/>
    <x v="1"/>
    <n v="7200"/>
    <m/>
    <n v="11.99"/>
    <n v="0.33333333333333326"/>
    <n v="227"/>
    <n v="3"/>
    <n v="600000"/>
    <m/>
    <n v="1000000"/>
    <n v="100000000000000"/>
    <n v="30"/>
    <m/>
    <n v="7.3"/>
    <m/>
    <s v=""/>
    <s v=""/>
    <n v="157.99"/>
    <n v="26.331666666666667"/>
    <n v="192.74780000000001"/>
    <n v="32.124633333333335"/>
    <n v="6.4249266666666669"/>
  </r>
  <r>
    <d v="2018-07-20T00:00:00"/>
    <s v="HGST"/>
    <s v="Deskstar NAS"/>
    <x v="0"/>
    <x v="0"/>
    <x v="2"/>
    <n v="7200"/>
    <m/>
    <n v="11.99"/>
    <n v="0.33333333333333326"/>
    <n v="205"/>
    <n v="3"/>
    <n v="600000"/>
    <m/>
    <n v="1000000"/>
    <n v="100000000000000"/>
    <n v="30"/>
    <m/>
    <n v="5.0999999999999996"/>
    <m/>
    <s v=""/>
    <s v=""/>
    <n v="219.99"/>
    <n v="27.498750000000001"/>
    <n v="268.38780000000003"/>
    <n v="33.548475000000003"/>
    <n v="6.7096950000000009"/>
  </r>
  <r>
    <d v="2018-08-22T00:00:00"/>
    <s v="HGST"/>
    <s v="Deskstar NAS"/>
    <x v="0"/>
    <x v="0"/>
    <x v="3"/>
    <n v="7200"/>
    <m/>
    <n v="11.99"/>
    <n v="0.33333333333333326"/>
    <n v="240"/>
    <n v="3"/>
    <n v="600000"/>
    <m/>
    <n v="1000000"/>
    <n v="100000000000000"/>
    <n v="30"/>
    <m/>
    <n v="5.0999999999999996"/>
    <m/>
    <s v=""/>
    <s v=""/>
    <n v="289.99"/>
    <n v="28.999000000000002"/>
    <n v="353.7878"/>
    <n v="35.378779999999999"/>
    <n v="7.0757560000000002"/>
  </r>
  <r>
    <d v="2018-07-17T00:00:00"/>
    <s v="HGST"/>
    <s v="Travelstar 5K1000"/>
    <x v="1"/>
    <x v="1"/>
    <x v="4"/>
    <n v="5400"/>
    <n v="5.5"/>
    <n v="12"/>
    <n v="0"/>
    <n v="99"/>
    <n v="3"/>
    <n v="600000"/>
    <m/>
    <m/>
    <m/>
    <n v="4.5"/>
    <n v="1.6"/>
    <n v="0.8"/>
    <n v="0.2"/>
    <n v="1.0518912"/>
    <n v="1.0518912"/>
    <n v="48.99"/>
    <n v="48.99"/>
    <n v="59.767800000000001"/>
    <n v="59.767800000000001"/>
    <n v="11.95356"/>
  </r>
  <r>
    <d v="2018-07-17T00:00:00"/>
    <s v="HGST"/>
    <s v="Travelstar 7K1000"/>
    <x v="1"/>
    <x v="1"/>
    <x v="4"/>
    <n v="7200"/>
    <n v="4.2"/>
    <n v="12"/>
    <n v="0.33333333333333326"/>
    <n v="128"/>
    <n v="3"/>
    <n v="600000"/>
    <m/>
    <m/>
    <m/>
    <n v="5.5"/>
    <n v="2.7"/>
    <n v="2"/>
    <n v="0.2"/>
    <n v="2.3448408000000001"/>
    <n v="2.3448408000000001"/>
    <n v="58.75"/>
    <n v="58.75"/>
    <n v="71.674999999999997"/>
    <n v="71.674999999999997"/>
    <n v="14.334999999999999"/>
  </r>
  <r>
    <d v="2017-12-25T00:00:00"/>
    <s v="HGST"/>
    <s v="Ultrastar 7K2000"/>
    <x v="0"/>
    <x v="0"/>
    <x v="4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6.9468648000000002"/>
    <n v="53.9"/>
    <n v="53.9"/>
    <n v="53.9"/>
    <n v="53.9"/>
    <n v="10.78"/>
  </r>
  <r>
    <d v="2017-12-25T00:00:00"/>
    <s v="HGST"/>
    <s v="Ultrastar 7K2000"/>
    <x v="0"/>
    <x v="0"/>
    <x v="5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3.4734324000000001"/>
    <n v="121.38"/>
    <n v="60.69"/>
    <n v="121.38"/>
    <n v="60.69"/>
    <n v="12.138"/>
  </r>
  <r>
    <d v="2018-07-17T00:00:00"/>
    <s v="HGST"/>
    <s v="Ultrastar 7K4000"/>
    <x v="0"/>
    <x v="0"/>
    <x v="5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4.2733080000000001"/>
    <n v="120.89"/>
    <n v="60.445"/>
    <n v="120.89"/>
    <n v="60.445"/>
    <n v="12.089"/>
  </r>
  <r>
    <d v="2018-07-03T00:00:00"/>
    <s v="HGST"/>
    <s v="Ultrastar 7K4000"/>
    <x v="0"/>
    <x v="0"/>
    <x v="6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2.8488720000000001"/>
    <n v="170"/>
    <n v="56.666666666666664"/>
    <n v="170"/>
    <n v="56.666666666666664"/>
    <n v="11.333333333333332"/>
  </r>
  <r>
    <d v="2018-07-17T00:00:00"/>
    <s v="HGST"/>
    <s v="Ultrastar 7K4000"/>
    <x v="0"/>
    <x v="0"/>
    <x v="0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2.1366540000000001"/>
    <n v="119.59"/>
    <n v="29.897500000000001"/>
    <n v="119.59"/>
    <n v="29.897500000000001"/>
    <n v="5.9794999999999998"/>
  </r>
  <r>
    <d v="2018-07-17T00:00:00"/>
    <s v="HGST"/>
    <s v="Ultrastar 7K6000"/>
    <x v="0"/>
    <x v="0"/>
    <x v="5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4.1089500000000001"/>
    <n v="154.21"/>
    <n v="77.105000000000004"/>
    <n v="154.21"/>
    <n v="77.105000000000004"/>
    <n v="15.421000000000001"/>
  </r>
  <r>
    <d v="2017-11-14T00:00:00"/>
    <s v="HGST"/>
    <s v="Ultrastar 7K6000"/>
    <x v="0"/>
    <x v="0"/>
    <x v="0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</r>
  <r>
    <d v="2017-11-14T00:00:00"/>
    <s v="HGST"/>
    <s v="Ultrastar 7K6000"/>
    <x v="0"/>
    <x v="0"/>
    <x v="7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</r>
  <r>
    <d v="2018-03-20T00:00:00"/>
    <s v="HGST"/>
    <s v="Ultrastar 7K6000"/>
    <x v="0"/>
    <x v="0"/>
    <x v="1"/>
    <n v="7200"/>
    <n v="4.16"/>
    <n v="8"/>
    <n v="0.33333333333333326"/>
    <n v="216"/>
    <n v="5"/>
    <n v="600000"/>
    <m/>
    <n v="2000000"/>
    <n v="1000000000000000"/>
    <m/>
    <n v="9.1"/>
    <n v="7.1"/>
    <m/>
    <n v="8.2179000000000002"/>
    <n v="1.36965"/>
    <n v="281.72000000000003"/>
    <n v="46.95333333333334"/>
    <n v="281.72000000000003"/>
    <n v="46.95333333333334"/>
    <n v="9.390666666666668"/>
  </r>
  <r>
    <d v="2017-10-25T00:00:00"/>
    <s v="HGST"/>
    <s v="Ultrastar Archive Ha10"/>
    <x v="2"/>
    <x v="0"/>
    <x v="2"/>
    <n v="7200"/>
    <n v="4.16"/>
    <n v="8.5"/>
    <n v="0.33333333333333326"/>
    <n v="157"/>
    <n v="5"/>
    <n v="600000"/>
    <m/>
    <n v="2000000"/>
    <n v="1000000000000000"/>
    <m/>
    <n v="7.6"/>
    <n v="5.0999999999999996"/>
    <m/>
    <n v="6.1360319999999993"/>
    <n v="0.76700399999999991"/>
    <n v="373"/>
    <n v="46.625"/>
    <n v="373"/>
    <n v="46.625"/>
    <n v="9.3249999999999993"/>
  </r>
  <r>
    <d v="2018-01-14T00:00:00"/>
    <s v="HGST"/>
    <s v="Ultrastar C10K900"/>
    <x v="0"/>
    <x v="1"/>
    <x v="8"/>
    <n v="10520"/>
    <n v="2.85"/>
    <n v="8.5"/>
    <n v="0.94814814814814818"/>
    <n v="224"/>
    <n v="5"/>
    <m/>
    <m/>
    <n v="2000000"/>
    <n v="1E+16"/>
    <m/>
    <n v="6.5"/>
    <n v="4.7"/>
    <m/>
    <n v="5.5443432000000001"/>
    <n v="6.1603813333333335"/>
    <n v="129.99"/>
    <n v="144.43333333333334"/>
    <n v="129.99"/>
    <n v="144.43333333333334"/>
    <n v="28.886666666666667"/>
  </r>
  <r>
    <d v="2018-01-14T00:00:00"/>
    <s v="HGST"/>
    <s v="Ultrastar C10K1200"/>
    <x v="0"/>
    <x v="1"/>
    <x v="9"/>
    <n v="10520"/>
    <n v="2.85"/>
    <n v="8.5"/>
    <n v="0.94814814814814818"/>
    <n v="224"/>
    <n v="5"/>
    <m/>
    <m/>
    <n v="2000000"/>
    <n v="1E+16"/>
    <m/>
    <n v="6.5"/>
    <n v="4.7"/>
    <m/>
    <n v="5.5443432000000001"/>
    <n v="4.6202860000000001"/>
    <n v="170"/>
    <n v="141.66666666666669"/>
    <n v="170"/>
    <n v="141.66666666666669"/>
    <n v="28.333333333333336"/>
  </r>
  <r>
    <d v="2018-01-14T00:00:00"/>
    <s v="HGST"/>
    <s v="Ultrastar C10K1800"/>
    <x v="0"/>
    <x v="1"/>
    <x v="10"/>
    <n v="10520"/>
    <n v="2.85"/>
    <n v="8.5"/>
    <n v="0.94814814814814818"/>
    <n v="224"/>
    <n v="5"/>
    <m/>
    <m/>
    <n v="2000000"/>
    <n v="1E+16"/>
    <m/>
    <n v="6.6"/>
    <n v="4.7"/>
    <m/>
    <n v="5.5662576000000001"/>
    <n v="3.0923653333333334"/>
    <n v="199.99"/>
    <n v="111.10555555555555"/>
    <n v="199.99"/>
    <n v="111.10555555555555"/>
    <n v="22.22111111111111"/>
  </r>
  <r>
    <d v="2018-07-03T00:00:00"/>
    <s v="HGST"/>
    <s v="Ultrastar C15K600"/>
    <x v="0"/>
    <x v="1"/>
    <x v="11"/>
    <n v="15030"/>
    <n v="1.99"/>
    <n v="8.5"/>
    <n v="1.7833333333333332"/>
    <n v="250"/>
    <n v="5"/>
    <m/>
    <m/>
    <n v="2000000"/>
    <n v="1E+17"/>
    <m/>
    <n v="7.5"/>
    <n v="5.8"/>
    <m/>
    <n v="6.7277208000000002"/>
    <n v="11.212868"/>
    <n v="169.99"/>
    <n v="283.31666666666672"/>
    <n v="169.99"/>
    <n v="283.31666666666672"/>
    <n v="56.663333333333341"/>
  </r>
  <r>
    <d v="2018-07-03T00:00:00"/>
    <s v="HGST"/>
    <s v="Ultrastar He6"/>
    <x v="0"/>
    <x v="0"/>
    <x v="1"/>
    <n v="7200"/>
    <n v="4.16"/>
    <n v="8.5"/>
    <n v="0.33333333333333326"/>
    <n v="195"/>
    <n v="5"/>
    <n v="600000"/>
    <n v="550"/>
    <n v="2500000"/>
    <n v="1000000000000000"/>
    <m/>
    <n v="7.4"/>
    <n v="5.0999999999999996"/>
    <m/>
    <n v="6.0922031999999993"/>
    <n v="1.0153671999999998"/>
    <n v="326.55"/>
    <n v="54.425000000000004"/>
    <n v="326.55"/>
    <n v="54.425000000000004"/>
    <n v="10.885000000000002"/>
  </r>
  <r>
    <d v="2018-07-03T00:00:00"/>
    <s v="HGST"/>
    <s v="Ultrastar He8"/>
    <x v="0"/>
    <x v="0"/>
    <x v="2"/>
    <n v="7200"/>
    <n v="4.16"/>
    <n v="8.5"/>
    <n v="0.33333333333333326"/>
    <n v="237"/>
    <n v="5"/>
    <n v="600000"/>
    <n v="550"/>
    <n v="2500000"/>
    <n v="1000000000000000"/>
    <m/>
    <n v="7.4"/>
    <n v="5.0999999999999996"/>
    <m/>
    <n v="6.0922031999999993"/>
    <n v="0.76152539999999991"/>
    <n v="330.59"/>
    <n v="41.323749999999997"/>
    <n v="330.59"/>
    <n v="41.323749999999997"/>
    <n v="8.2647499999999994"/>
  </r>
  <r>
    <d v="2018-07-03T00:00:00"/>
    <s v="HGST"/>
    <s v="Ultrastar He10"/>
    <x v="0"/>
    <x v="0"/>
    <x v="3"/>
    <n v="7200"/>
    <n v="4.16"/>
    <n v="8.5"/>
    <n v="0.33333333333333326"/>
    <n v="237"/>
    <n v="5"/>
    <n v="600000"/>
    <n v="550"/>
    <n v="2500000"/>
    <n v="1000000000000000"/>
    <m/>
    <n v="6.8"/>
    <n v="5"/>
    <m/>
    <n v="5.8730592000000001"/>
    <n v="0.58730592000000004"/>
    <n v="344.56"/>
    <n v="34.456000000000003"/>
    <n v="344.56"/>
    <n v="34.456000000000003"/>
    <n v="6.8912000000000004"/>
  </r>
  <r>
    <d v="2018-07-03T00:00:00"/>
    <s v="HGST"/>
    <s v="Ultrastar He12"/>
    <x v="0"/>
    <x v="0"/>
    <x v="12"/>
    <n v="7200"/>
    <n v="4.16"/>
    <n v="8.5"/>
    <n v="0.33333333333333326"/>
    <n v="243"/>
    <n v="5"/>
    <n v="600000"/>
    <n v="550"/>
    <n v="2500000"/>
    <n v="1000000000000000"/>
    <m/>
    <n v="7.2"/>
    <n v="5.3"/>
    <m/>
    <n v="6.2236896000000002"/>
    <n v="0.51864080000000001"/>
    <n v="429.99"/>
    <n v="35.832500000000003"/>
    <n v="429.99"/>
    <n v="35.832500000000003"/>
    <n v="7.166500000000001"/>
  </r>
  <r>
    <d v="2018-01-27T00:00:00"/>
    <s v="HGST"/>
    <s v="Ultrastar Hs14"/>
    <x v="2"/>
    <x v="0"/>
    <x v="13"/>
    <n v="7200"/>
    <n v="4.16"/>
    <n v="8.5"/>
    <n v="0.33333333333333326"/>
    <n v="223"/>
    <n v="5"/>
    <n v="600000"/>
    <n v="550"/>
    <n v="2500000"/>
    <n v="1000000000000000"/>
    <n v="20.07"/>
    <n v="6.4"/>
    <n v="5.2"/>
    <n v="0.8"/>
    <n v="5.960716800000001"/>
    <n v="0.4257654857142858"/>
    <n v="650"/>
    <n v="46.428571428571431"/>
    <n v="650"/>
    <n v="46.428571428571431"/>
    <n v="9.2857142857142865"/>
  </r>
  <r>
    <d v="2017-11-25T00:00:00"/>
    <s v="Seagate"/>
    <s v="Archive"/>
    <x v="2"/>
    <x v="0"/>
    <x v="7"/>
    <n v="5900"/>
    <m/>
    <m/>
    <n v="9.259259259259256E-2"/>
    <n v="180"/>
    <n v="3"/>
    <n v="300000"/>
    <n v="180"/>
    <n v="800000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</r>
  <r>
    <d v="2017-11-25T00:00:00"/>
    <s v="Seagate"/>
    <s v="Archive"/>
    <x v="2"/>
    <x v="0"/>
    <x v="1"/>
    <n v="5900"/>
    <m/>
    <m/>
    <n v="9.259259259259256E-2"/>
    <n v="190"/>
    <n v="3"/>
    <n v="300000"/>
    <n v="180"/>
    <n v="800000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</r>
  <r>
    <d v="2017-11-27T00:00:00"/>
    <s v="Seagate"/>
    <s v="Archive"/>
    <x v="2"/>
    <x v="0"/>
    <x v="2"/>
    <n v="5900"/>
    <n v="5.5"/>
    <n v="11.99"/>
    <n v="9.259259259259256E-2"/>
    <n v="190"/>
    <n v="3"/>
    <n v="300000"/>
    <n v="180"/>
    <n v="800000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</r>
  <r>
    <d v="2018-08-08T00:00:00"/>
    <s v="Seagate"/>
    <s v="BarraCuda"/>
    <x v="1"/>
    <x v="1"/>
    <x v="4"/>
    <n v="5400"/>
    <m/>
    <m/>
    <n v="0"/>
    <n v="140"/>
    <n v="2"/>
    <n v="600000"/>
    <m/>
    <m/>
    <n v="100000000000000"/>
    <n v="5"/>
    <n v="1.7"/>
    <n v="0.45"/>
    <m/>
    <n v="0.76700400000000002"/>
    <n v="0.76700400000000002"/>
    <n v="41.99"/>
    <n v="41.99"/>
    <n v="55.846699999999998"/>
    <n v="55.846699999999998"/>
    <n v="11.16934"/>
  </r>
  <r>
    <d v="2018-08-22T00:00:00"/>
    <s v="Seagate"/>
    <s v="BarraCuda"/>
    <x v="1"/>
    <x v="1"/>
    <x v="5"/>
    <n v="5400"/>
    <m/>
    <m/>
    <n v="0"/>
    <n v="140"/>
    <n v="2"/>
    <n v="600000"/>
    <m/>
    <m/>
    <n v="100000000000000"/>
    <n v="5"/>
    <n v="1.8"/>
    <n v="0.5"/>
    <m/>
    <n v="0.83274720000000002"/>
    <n v="0.41637360000000001"/>
    <n v="69.989999999999995"/>
    <n v="34.994999999999997"/>
    <n v="93.086699999999993"/>
    <n v="46.543349999999997"/>
    <n v="9.3086699999999993"/>
  </r>
  <r>
    <d v="2018-01-14T00:00:00"/>
    <s v="Seagate"/>
    <s v="BarraCuda"/>
    <x v="1"/>
    <x v="1"/>
    <x v="6"/>
    <n v="5400"/>
    <m/>
    <m/>
    <n v="0"/>
    <n v="140"/>
    <n v="2"/>
    <n v="600000"/>
    <m/>
    <m/>
    <n v="100000000000000"/>
    <n v="6"/>
    <n v="2.1"/>
    <n v="1.1000000000000001"/>
    <m/>
    <n v="1.4244360000000003"/>
    <n v="0.47481200000000007"/>
    <n v="129.99"/>
    <n v="43.330000000000005"/>
    <n v="172.88670000000002"/>
    <n v="57.628900000000009"/>
    <n v="11.525780000000001"/>
  </r>
  <r>
    <d v="2018-01-03T00:00:00"/>
    <s v="Seagate"/>
    <s v="BarraCuda"/>
    <x v="1"/>
    <x v="1"/>
    <x v="0"/>
    <n v="5400"/>
    <m/>
    <m/>
    <n v="0"/>
    <n v="140"/>
    <n v="2"/>
    <n v="600000"/>
    <m/>
    <m/>
    <n v="100000000000000"/>
    <n v="6"/>
    <n v="2.1"/>
    <n v="1.1000000000000001"/>
    <m/>
    <n v="1.4244360000000003"/>
    <n v="0.35610900000000006"/>
    <n v="157.09"/>
    <n v="39.272500000000001"/>
    <n v="208.92970000000003"/>
    <n v="52.232425000000006"/>
    <n v="10.446485000000001"/>
  </r>
  <r>
    <d v="2018-01-14T00:00:00"/>
    <s v="Seagate"/>
    <s v="BarraCuda"/>
    <x v="1"/>
    <x v="1"/>
    <x v="7"/>
    <n v="5400"/>
    <m/>
    <m/>
    <n v="0"/>
    <n v="140"/>
    <n v="2"/>
    <n v="600000"/>
    <m/>
    <m/>
    <n v="100000000000000"/>
    <n v="6"/>
    <n v="2.1"/>
    <n v="1.1000000000000001"/>
    <m/>
    <n v="1.4244360000000003"/>
    <n v="0.28488720000000006"/>
    <n v="196.22"/>
    <n v="39.244"/>
    <n v="260.9726"/>
    <n v="52.194519999999997"/>
    <n v="10.438903999999999"/>
  </r>
  <r>
    <d v="2018-08-07T00:00:00"/>
    <s v="Seagate"/>
    <s v="BarraCuda"/>
    <x v="3"/>
    <x v="0"/>
    <x v="4"/>
    <n v="7200"/>
    <n v="4.16"/>
    <n v="9.5"/>
    <n v="0.33333333333333326"/>
    <n v="156"/>
    <n v="2"/>
    <n v="300000"/>
    <n v="55"/>
    <m/>
    <n v="100000000000000"/>
    <n v="24"/>
    <n v="5.3"/>
    <n v="4.5999999999999996"/>
    <n v="0.94"/>
    <n v="5.1937128000000001"/>
    <n v="5.1937128000000001"/>
    <n v="39.99"/>
    <n v="39.99"/>
    <n v="53.186700000000002"/>
    <n v="53.186700000000002"/>
    <n v="10.63734"/>
  </r>
  <r>
    <d v="2018-07-25T00:00:00"/>
    <s v="Seagate"/>
    <s v="BarraCuda"/>
    <x v="3"/>
    <x v="0"/>
    <x v="5"/>
    <n v="7200"/>
    <n v="6"/>
    <n v="15"/>
    <n v="0.33333333333333326"/>
    <n v="190"/>
    <n v="2"/>
    <n v="600000"/>
    <n v="55"/>
    <m/>
    <n v="100000000000000"/>
    <n v="30"/>
    <n v="8"/>
    <n v="5.4"/>
    <n v="0.75"/>
    <n v="6.486662400000001"/>
    <n v="3.2433312000000005"/>
    <n v="53.99"/>
    <n v="26.995000000000001"/>
    <n v="71.806700000000006"/>
    <n v="35.903350000000003"/>
    <n v="7.180670000000001"/>
  </r>
  <r>
    <d v="2018-08-08T00:00:00"/>
    <s v="Seagate"/>
    <s v="BarraCuda"/>
    <x v="3"/>
    <x v="0"/>
    <x v="6"/>
    <n v="7200"/>
    <n v="6"/>
    <n v="15"/>
    <n v="0.33333333333333326"/>
    <n v="185"/>
    <n v="2"/>
    <n v="600000"/>
    <n v="55"/>
    <m/>
    <n v="100000000000000"/>
    <n v="30"/>
    <n v="8"/>
    <n v="5.4"/>
    <n v="0.75"/>
    <n v="6.486662400000001"/>
    <n v="2.1622208000000005"/>
    <n v="69.989999999999995"/>
    <n v="23.33"/>
    <n v="93.086699999999993"/>
    <n v="31.028899999999997"/>
    <n v="6.205779999999999"/>
  </r>
  <r>
    <d v="2018-08-22T00:00:00"/>
    <s v="Seagate"/>
    <s v="BarraCuda"/>
    <x v="3"/>
    <x v="0"/>
    <x v="0"/>
    <n v="7200"/>
    <n v="6"/>
    <n v="15"/>
    <n v="0.33333333333333326"/>
    <n v="190"/>
    <n v="2"/>
    <n v="600000"/>
    <n v="55"/>
    <m/>
    <n v="100000000000000"/>
    <n v="24"/>
    <n v="5"/>
    <n v="2.5"/>
    <n v="0.25"/>
    <n v="3.2871600000000001"/>
    <n v="0.82179000000000002"/>
    <n v="89.99"/>
    <n v="22.497499999999999"/>
    <n v="119.6867"/>
    <n v="29.921675"/>
    <n v="5.9843349999999997"/>
  </r>
  <r>
    <d v="2018-08-02T00:00:00"/>
    <s v="Seagate"/>
    <s v="BarraCuda"/>
    <x v="3"/>
    <x v="0"/>
    <x v="1"/>
    <n v="7200"/>
    <n v="6"/>
    <n v="15"/>
    <n v="0.33333333333333326"/>
    <n v="185"/>
    <n v="2"/>
    <n v="600000"/>
    <n v="55"/>
    <m/>
    <n v="1000000000000000"/>
    <n v="24"/>
    <n v="5.3"/>
    <n v="3.4"/>
    <n v="0.25"/>
    <n v="4.1418216000000001"/>
    <n v="0.69030360000000002"/>
    <n v="140.99"/>
    <n v="23.498333333333335"/>
    <n v="187.51670000000001"/>
    <n v="31.252783333333337"/>
    <n v="6.2505566666666672"/>
  </r>
  <r>
    <d v="2018-08-08T00:00:00"/>
    <s v="Seagate"/>
    <s v="BarraCuda"/>
    <x v="3"/>
    <x v="0"/>
    <x v="2"/>
    <n v="7200"/>
    <n v="6"/>
    <n v="15"/>
    <n v="0.33333333333333326"/>
    <n v="190"/>
    <n v="2"/>
    <n v="600000"/>
    <n v="55"/>
    <m/>
    <n v="1000000000000000"/>
    <n v="24"/>
    <n v="5.3"/>
    <n v="3.4"/>
    <n v="0.25"/>
    <n v="4.1418216000000001"/>
    <n v="0.51772770000000001"/>
    <n v="186.99"/>
    <n v="23.373750000000001"/>
    <n v="248.69670000000002"/>
    <n v="31.087087500000003"/>
    <n v="6.2174175000000007"/>
  </r>
  <r>
    <d v="2018-07-17T00:00:00"/>
    <s v="Seagate"/>
    <s v="BarraCuda Pro"/>
    <x v="3"/>
    <x v="0"/>
    <x v="5"/>
    <n v="7200"/>
    <n v="4.16"/>
    <m/>
    <n v="0.33333333333333326"/>
    <n v="195"/>
    <n v="5"/>
    <s v="600000+M11"/>
    <n v="180"/>
    <n v="1200000"/>
    <n v="1000000000000000"/>
    <n v="24"/>
    <n v="6.7"/>
    <n v="4.5"/>
    <n v="0.8"/>
    <n v="5.4128568000000001"/>
    <n v="2.7064284000000001"/>
    <n v="110.37"/>
    <n v="55.185000000000002"/>
    <n v="110.37"/>
    <n v="55.185000000000002"/>
    <n v="11.037000000000001"/>
  </r>
  <r>
    <d v="2018-07-17T00:00:00"/>
    <s v="Seagate"/>
    <s v="BarraCuda Pro"/>
    <x v="3"/>
    <x v="0"/>
    <x v="0"/>
    <n v="7200"/>
    <n v="4.16"/>
    <m/>
    <n v="0.33333333333333326"/>
    <n v="214"/>
    <n v="5"/>
    <n v="600000"/>
    <n v="180"/>
    <n v="1200000"/>
    <n v="1000000000000000"/>
    <n v="24"/>
    <n v="6.7"/>
    <n v="6"/>
    <n v="0.6"/>
    <n v="6.7277208000000002"/>
    <n v="1.6819302"/>
    <n v="174.99"/>
    <n v="43.747500000000002"/>
    <n v="174.99"/>
    <n v="43.747500000000002"/>
    <n v="8.7495000000000012"/>
  </r>
  <r>
    <d v="2018-07-17T00:00:00"/>
    <s v="Seagate"/>
    <s v="BarraCuda Pro"/>
    <x v="3"/>
    <x v="0"/>
    <x v="1"/>
    <n v="7200"/>
    <n v="4.16"/>
    <m/>
    <n v="0.33333333333333326"/>
    <n v="214"/>
    <n v="5"/>
    <n v="600000"/>
    <n v="300"/>
    <n v="1200000"/>
    <n v="1000000000000000"/>
    <n v="24"/>
    <n v="9"/>
    <n v="7.2"/>
    <n v="0.6"/>
    <n v="8.2836432000000002"/>
    <n v="1.3806072"/>
    <n v="157.99"/>
    <n v="26.331666666666667"/>
    <n v="157.99"/>
    <n v="26.331666666666667"/>
    <n v="5.2663333333333338"/>
  </r>
  <r>
    <d v="2018-07-17T00:00:00"/>
    <s v="Seagate"/>
    <s v="BarraCuda Pro"/>
    <x v="3"/>
    <x v="0"/>
    <x v="2"/>
    <n v="7200"/>
    <n v="4.16"/>
    <m/>
    <n v="0.33333333333333326"/>
    <n v="210"/>
    <n v="5"/>
    <n v="300000"/>
    <n v="300"/>
    <n v="1000000"/>
    <n v="1000000000000000"/>
    <n v="24"/>
    <n v="6.8"/>
    <n v="4.42"/>
    <n v="0.8"/>
    <n v="5.3646451200000005"/>
    <n v="0.67058064000000006"/>
    <n v="272.63"/>
    <n v="34.078749999999999"/>
    <n v="272.63"/>
    <n v="34.078749999999999"/>
    <n v="6.8157499999999995"/>
  </r>
  <r>
    <d v="2018-07-17T00:00:00"/>
    <s v="Seagate"/>
    <s v="BarraCuda Pro"/>
    <x v="3"/>
    <x v="0"/>
    <x v="3"/>
    <n v="7200"/>
    <n v="4.16"/>
    <m/>
    <n v="0.33333333333333326"/>
    <n v="210"/>
    <n v="5"/>
    <n v="300000"/>
    <n v="300"/>
    <n v="1000000"/>
    <n v="1000000000000000"/>
    <n v="24"/>
    <n v="7.8"/>
    <n v="4.42"/>
    <n v="0.8"/>
    <n v="5.5837891200000005"/>
    <n v="0.55837891200000001"/>
    <n v="366.84"/>
    <n v="36.683999999999997"/>
    <n v="366.84"/>
    <n v="36.683999999999997"/>
    <n v="7.3367999999999993"/>
  </r>
  <r>
    <d v="2018-03-31T00:00:00"/>
    <s v="Seagate"/>
    <s v="BarraCuda Pro"/>
    <x v="3"/>
    <x v="0"/>
    <x v="12"/>
    <n v="7200"/>
    <n v="4.16"/>
    <m/>
    <n v="0.33333333333333326"/>
    <n v="238"/>
    <n v="5"/>
    <n v="300000"/>
    <n v="300"/>
    <n v="1000000"/>
    <n v="1000000000000000"/>
    <n v="24"/>
    <n v="7.8"/>
    <n v="4.83"/>
    <n v="0.84"/>
    <n v="5.9431852800000007"/>
    <n v="0.49526544000000006"/>
    <n v="439.99"/>
    <n v="36.665833333333332"/>
    <n v="439.99"/>
    <n v="36.665833333333332"/>
    <n v="7.3331666666666662"/>
  </r>
  <r>
    <d v="2018-01-14T00:00:00"/>
    <s v="Seagate"/>
    <s v="Constellation ES.3"/>
    <x v="0"/>
    <x v="0"/>
    <x v="0"/>
    <n v="7200"/>
    <n v="4.16"/>
    <m/>
    <n v="0.33333333333333326"/>
    <n v="175"/>
    <n v="5"/>
    <n v="600000"/>
    <n v="550"/>
    <n v="2000000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</r>
  <r>
    <d v="2018-01-27T00:00:00"/>
    <s v="Seagate"/>
    <s v="Exos 10E2400"/>
    <x v="0"/>
    <x v="1"/>
    <x v="9"/>
    <n v="10500"/>
    <n v="2.9"/>
    <m/>
    <n v="0.94444444444444442"/>
    <n v="270"/>
    <n v="5"/>
    <m/>
    <n v="550"/>
    <n v="2000000"/>
    <n v="1E+16"/>
    <n v="21.830000000000002"/>
    <n v="8.75"/>
    <n v="4.9000000000000004"/>
    <n v="3.63"/>
    <n v="6.2127324000000002"/>
    <n v="5.1772770000000001"/>
    <n v="295.95"/>
    <n v="246.625"/>
    <n v="295.95"/>
    <n v="246.625"/>
    <n v="49.325000000000003"/>
  </r>
  <r>
    <d v="2018-01-27T00:00:00"/>
    <s v="Seagate"/>
    <s v="Exos 10E2400"/>
    <x v="0"/>
    <x v="1"/>
    <x v="10"/>
    <n v="10500"/>
    <n v="2.9"/>
    <m/>
    <n v="0.94444444444444442"/>
    <n v="270"/>
    <n v="5"/>
    <m/>
    <n v="550"/>
    <n v="2000000"/>
    <n v="1E+16"/>
    <n v="21.59"/>
    <n v="6.95"/>
    <n v="4.26"/>
    <n v="4.2300000000000004"/>
    <n v="5.2572645600000003"/>
    <n v="2.9207025333333334"/>
    <n v="379.99"/>
    <n v="211.10555555555555"/>
    <n v="379.99"/>
    <n v="211.10555555555555"/>
    <n v="42.221111111111114"/>
  </r>
  <r>
    <d v="2018-01-27T00:00:00"/>
    <s v="Seagate"/>
    <s v="Exos 10E2400"/>
    <x v="0"/>
    <x v="1"/>
    <x v="14"/>
    <n v="10500"/>
    <n v="2.9"/>
    <m/>
    <n v="0.94444444444444442"/>
    <n v="270"/>
    <n v="5"/>
    <m/>
    <n v="550"/>
    <n v="2000000"/>
    <n v="1E+16"/>
    <n v="23.03"/>
    <n v="8.57"/>
    <n v="4.9000000000000004"/>
    <n v="4.88"/>
    <n v="6.1732864799999998"/>
    <n v="2.5722027000000001"/>
    <n v="484.57"/>
    <n v="201.90416666666667"/>
    <n v="484.57"/>
    <n v="201.90416666666667"/>
    <n v="40.380833333333335"/>
  </r>
  <r>
    <d v="2018-03-07T00:00:00"/>
    <s v="Seagate"/>
    <s v="Exos 15E900"/>
    <x v="0"/>
    <x v="0"/>
    <x v="8"/>
    <n v="15000"/>
    <n v="2"/>
    <m/>
    <n v="1.7777777777777777"/>
    <n v="215"/>
    <n v="5"/>
    <m/>
    <n v="550"/>
    <n v="2000000"/>
    <n v="1E+16"/>
    <m/>
    <n v="7.6"/>
    <n v="5.7"/>
    <m/>
    <n v="6.6619776000000002"/>
    <n v="7.4021973333333335"/>
    <n v="416.96"/>
    <n v="463.28888888888883"/>
    <n v="416.96"/>
    <n v="463.28888888888883"/>
    <n v="92.657777777777767"/>
  </r>
  <r>
    <d v="2018-03-07T00:00:00"/>
    <s v="Seagate"/>
    <s v="Exos 5E8"/>
    <x v="2"/>
    <x v="0"/>
    <x v="2"/>
    <n v="5900"/>
    <m/>
    <m/>
    <n v="9.259259259259256E-2"/>
    <n v="190"/>
    <n v="3"/>
    <n v="300000"/>
    <n v="180"/>
    <n v="800000"/>
    <n v="100000000000000"/>
    <n v="24"/>
    <n v="5.3"/>
    <n v="3.7"/>
    <n v="0.99"/>
    <n v="4.4047944000000001"/>
    <n v="0.55059930000000001"/>
    <n v="281.99"/>
    <n v="35.248750000000001"/>
    <n v="344.02780000000001"/>
    <n v="43.003475000000002"/>
    <n v="8.600695"/>
  </r>
  <r>
    <d v="2018-01-14T00:00:00"/>
    <s v="Seagate"/>
    <s v="Exos 7E2"/>
    <x v="0"/>
    <x v="0"/>
    <x v="4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5.6539152000000001"/>
    <n v="165"/>
    <n v="165"/>
    <n v="165"/>
    <n v="165"/>
    <n v="33"/>
  </r>
  <r>
    <d v="2017-10-19T00:00:00"/>
    <s v="Seagate"/>
    <s v="Exos 7E2"/>
    <x v="0"/>
    <x v="0"/>
    <x v="5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</r>
  <r>
    <d v="2018-07-17T00:00:00"/>
    <s v="Seagate"/>
    <s v="Exos 7E2000"/>
    <x v="0"/>
    <x v="1"/>
    <x v="4"/>
    <n v="7200"/>
    <n v="4.16"/>
    <m/>
    <n v="0.33333333333333326"/>
    <n v="136"/>
    <n v="5"/>
    <n v="300000"/>
    <n v="550"/>
    <n v="2000000"/>
    <n v="1000000000000000"/>
    <m/>
    <n v="5.9"/>
    <n v="3.29"/>
    <n v="1.52"/>
    <n v="4.1768846400000008"/>
    <n v="4.1768846400000008"/>
    <n v="176.27"/>
    <n v="176.27"/>
    <n v="176.27"/>
    <n v="176.27"/>
    <n v="35.254000000000005"/>
  </r>
  <r>
    <d v="2018-03-07T00:00:00"/>
    <s v="Seagate"/>
    <s v="Exos 7E2000"/>
    <x v="0"/>
    <x v="1"/>
    <x v="5"/>
    <n v="7200"/>
    <n v="4.16"/>
    <m/>
    <n v="0.33333333333333326"/>
    <n v="136"/>
    <n v="5"/>
    <n v="300000"/>
    <n v="550"/>
    <n v="2000000"/>
    <n v="1000000000000000"/>
    <m/>
    <n v="6.02"/>
    <n v="3.53"/>
    <n v="1.52"/>
    <n v="4.4135601600000003"/>
    <n v="2.2067800800000001"/>
    <n v="270"/>
    <n v="135"/>
    <n v="270"/>
    <n v="135"/>
    <n v="27"/>
  </r>
  <r>
    <d v="2018-02-04T00:00:00"/>
    <s v="Seagate"/>
    <s v="Exos 7E8"/>
    <x v="0"/>
    <x v="0"/>
    <x v="4"/>
    <n v="7200"/>
    <n v="4.16"/>
    <m/>
    <n v="0.33333333333333326"/>
    <n v="205"/>
    <n v="5"/>
    <n v="600000"/>
    <n v="550"/>
    <n v="2000000"/>
    <n v="1000000000000000"/>
    <m/>
    <n v="5.91"/>
    <n v="4.25"/>
    <m/>
    <n v="5.0205890399999999"/>
    <n v="5.0205890399999999"/>
    <n v="89.47"/>
    <n v="89.47"/>
    <n v="89.47"/>
    <n v="89.47"/>
    <n v="17.893999999999998"/>
  </r>
  <r>
    <d v="2018-02-04T00:00:00"/>
    <s v="Seagate"/>
    <s v="Exos 7E8"/>
    <x v="0"/>
    <x v="0"/>
    <x v="5"/>
    <n v="7200"/>
    <n v="4.16"/>
    <m/>
    <n v="0.33333333333333326"/>
    <n v="205"/>
    <n v="5"/>
    <n v="600000"/>
    <n v="550"/>
    <n v="2000000"/>
    <n v="1000000000000000"/>
    <m/>
    <n v="5.9"/>
    <n v="4.25"/>
    <n v="0.6"/>
    <n v="5.0183976000000001"/>
    <n v="2.5091988000000001"/>
    <n v="119.99"/>
    <n v="59.994999999999997"/>
    <n v="119.99"/>
    <n v="59.994999999999997"/>
    <n v="11.998999999999999"/>
  </r>
  <r>
    <d v="2018-07-26T00:00:00"/>
    <s v="Seagate"/>
    <s v="Exos 7E8"/>
    <x v="0"/>
    <x v="0"/>
    <x v="6"/>
    <n v="7200"/>
    <n v="4.16"/>
    <m/>
    <n v="0.33333333333333326"/>
    <n v="205"/>
    <n v="5"/>
    <n v="600000"/>
    <n v="550"/>
    <n v="2000000"/>
    <n v="1000000000000000"/>
    <m/>
    <n v="6.9"/>
    <n v="5.45"/>
    <n v="0.6"/>
    <n v="6.2894328000000002"/>
    <n v="2.0964776000000001"/>
    <n v="174.88"/>
    <n v="58.293333333333329"/>
    <n v="174.88"/>
    <n v="58.293333333333329"/>
    <n v="11.658666666666665"/>
  </r>
  <r>
    <d v="2018-07-26T00:00:00"/>
    <s v="Seagate"/>
    <s v="Exos 7E8"/>
    <x v="0"/>
    <x v="0"/>
    <x v="0"/>
    <n v="7200"/>
    <n v="4.16"/>
    <m/>
    <n v="0.33333333333333326"/>
    <n v="205"/>
    <n v="5"/>
    <n v="600000"/>
    <n v="550"/>
    <n v="2000000"/>
    <n v="1000000000000000"/>
    <m/>
    <n v="6.9"/>
    <n v="5.45"/>
    <n v="0.6"/>
    <n v="6.2894328000000002"/>
    <n v="1.5723582"/>
    <n v="203.77"/>
    <n v="50.942500000000003"/>
    <n v="129.99"/>
    <n v="32.497500000000002"/>
    <n v="6.4995000000000003"/>
  </r>
  <r>
    <d v="2018-02-04T00:00:00"/>
    <s v="Seagate"/>
    <s v="Exos 7E8"/>
    <x v="0"/>
    <x v="0"/>
    <x v="1"/>
    <n v="7200"/>
    <n v="4.16"/>
    <m/>
    <n v="0.33333333333333326"/>
    <n v="226"/>
    <n v="5"/>
    <n v="600000"/>
    <n v="550"/>
    <n v="2000000"/>
    <n v="1000000000000000"/>
    <m/>
    <n v="9.8000000000000007"/>
    <n v="8.15"/>
    <n v="0.6"/>
    <n v="9.2917056000000002"/>
    <n v="1.5486176"/>
    <n v="191.07"/>
    <n v="31.844999999999999"/>
    <n v="191.07"/>
    <n v="31.844999999999999"/>
    <n v="6.3689999999999998"/>
  </r>
  <r>
    <d v="2017-12-11T00:00:00"/>
    <s v="Seagate"/>
    <s v="Exos 7E8"/>
    <x v="0"/>
    <x v="0"/>
    <x v="2"/>
    <n v="7200"/>
    <n v="4.16"/>
    <m/>
    <n v="0.33333333333333326"/>
    <n v="249"/>
    <n v="5"/>
    <n v="600000"/>
    <n v="550"/>
    <n v="2000000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</r>
  <r>
    <d v="2018-04-18T00:00:00"/>
    <s v="Seagate"/>
    <s v="Exos X10"/>
    <x v="0"/>
    <x v="0"/>
    <x v="2"/>
    <n v="7200"/>
    <n v="4.16"/>
    <m/>
    <n v="0.33333333333333326"/>
    <n v="237"/>
    <n v="5"/>
    <n v="600000"/>
    <n v="550"/>
    <n v="2500000"/>
    <n v="1000000000000000"/>
    <n v="26.21"/>
    <n v="7.8"/>
    <n v="5"/>
    <n v="0.8"/>
    <n v="6.0922032000000002"/>
    <n v="0.76152540000000002"/>
    <n v="324.99"/>
    <n v="40.623750000000001"/>
    <n v="324.99"/>
    <n v="40.623750000000001"/>
    <n v="8.1247500000000006"/>
  </r>
  <r>
    <d v="2018-03-20T00:00:00"/>
    <s v="Seagate"/>
    <s v="Exos X10"/>
    <x v="0"/>
    <x v="0"/>
    <x v="3"/>
    <n v="7200"/>
    <n v="4.16"/>
    <m/>
    <n v="0.33333333333333326"/>
    <n v="237"/>
    <n v="5"/>
    <n v="600000"/>
    <n v="550"/>
    <n v="2500000"/>
    <n v="1000000000000000"/>
    <n v="26.18"/>
    <n v="7.8"/>
    <n v="5"/>
    <n v="0.8"/>
    <n v="6.0922032000000002"/>
    <n v="0.60922032000000004"/>
    <n v="348.5"/>
    <n v="34.85"/>
    <n v="348.5"/>
    <n v="34.85"/>
    <n v="6.9700000000000006"/>
  </r>
  <r>
    <d v="2018-07-26T00:00:00"/>
    <s v="Seagate"/>
    <s v="Exos X12"/>
    <x v="0"/>
    <x v="0"/>
    <x v="12"/>
    <n v="7200"/>
    <n v="4.16"/>
    <m/>
    <n v="0.33333333333333326"/>
    <n v="261"/>
    <n v="5"/>
    <n v="600000"/>
    <n v="550"/>
    <n v="2500000"/>
    <n v="1000000000000000"/>
    <n v="25.318000000000001"/>
    <n v="7.8"/>
    <n v="5"/>
    <n v="1.1499999999999999"/>
    <n v="6.0922032000000002"/>
    <n v="0.50768360000000001"/>
    <n v="567.42999999999995"/>
    <n v="47.285833333333329"/>
    <n v="567.42999999999995"/>
    <n v="47.285833333333329"/>
    <n v="9.4571666666666658"/>
  </r>
  <r>
    <d v="2018-07-17T00:00:00"/>
    <s v="Seagate"/>
    <s v="FireCuda SSHD"/>
    <x v="1"/>
    <x v="1"/>
    <x v="4"/>
    <n v="5400"/>
    <n v="5.6"/>
    <n v="13"/>
    <n v="0"/>
    <n v="140"/>
    <n v="5"/>
    <n v="600000"/>
    <n v="55"/>
    <m/>
    <n v="100000000000000"/>
    <n v="5"/>
    <n v="1.7"/>
    <n v="1.45"/>
    <n v="0.45"/>
    <n v="1.64358"/>
    <n v="1.64358"/>
    <n v="52.99"/>
    <n v="52.99"/>
    <n v="52.99"/>
    <n v="52.99"/>
    <n v="10.598000000000001"/>
  </r>
  <r>
    <d v="2018-07-25T00:00:00"/>
    <s v="Seagate"/>
    <s v="FireCuda SSHD"/>
    <x v="1"/>
    <x v="1"/>
    <x v="5"/>
    <n v="5400"/>
    <n v="5.6"/>
    <n v="13"/>
    <n v="0"/>
    <n v="140"/>
    <n v="5"/>
    <n v="600000"/>
    <n v="55"/>
    <m/>
    <n v="100000000000000"/>
    <n v="5"/>
    <n v="1.8"/>
    <n v="1.5"/>
    <n v="0.5"/>
    <n v="1.7093232"/>
    <n v="0.85466160000000002"/>
    <n v="74.989999999999995"/>
    <n v="37.494999999999997"/>
    <n v="74.989999999999995"/>
    <n v="37.494999999999997"/>
    <n v="7.4989999999999997"/>
  </r>
  <r>
    <d v="2018-07-03T00:00:00"/>
    <s v="Seagate"/>
    <s v="FireCuda SSHD"/>
    <x v="3"/>
    <x v="0"/>
    <x v="4"/>
    <n v="7200"/>
    <m/>
    <m/>
    <n v="0.33333333333333326"/>
    <m/>
    <n v="5"/>
    <m/>
    <m/>
    <m/>
    <m/>
    <n v="24"/>
    <n v="5.9"/>
    <n v="4.5"/>
    <n v="0.63"/>
    <n v="5.2375416000000001"/>
    <n v="5.2375416000000001"/>
    <n v="63.99"/>
    <n v="63.99"/>
    <n v="63.99"/>
    <n v="63.99"/>
    <n v="12.798"/>
  </r>
  <r>
    <d v="2018-07-17T00:00:00"/>
    <s v="Seagate"/>
    <s v="FireCuda SSHD"/>
    <x v="3"/>
    <x v="0"/>
    <x v="5"/>
    <n v="7200"/>
    <m/>
    <m/>
    <n v="0.33333333333333326"/>
    <m/>
    <n v="5"/>
    <m/>
    <m/>
    <m/>
    <m/>
    <n v="24"/>
    <n v="6.7"/>
    <n v="3.36"/>
    <n v="0.75"/>
    <n v="4.4135601600000003"/>
    <n v="2.2067800800000001"/>
    <n v="69.989999999999995"/>
    <n v="34.994999999999997"/>
    <n v="69.989999999999995"/>
    <n v="34.994999999999997"/>
    <n v="6.9989999999999997"/>
  </r>
  <r>
    <d v="2018-07-26T00:00:00"/>
    <s v="Seagate"/>
    <s v="IronWolf"/>
    <x v="0"/>
    <x v="0"/>
    <x v="4"/>
    <n v="5900"/>
    <n v="5.0999999999999996"/>
    <n v="11.99"/>
    <n v="9.259259259259256E-2"/>
    <n v="180"/>
    <n v="3"/>
    <n v="600000"/>
    <n v="180"/>
    <n v="1000000"/>
    <n v="100000000000000"/>
    <n v="14.399999999999999"/>
    <n v="3.76"/>
    <n v="2.5"/>
    <n v="0.8"/>
    <n v="3.0154214399999999"/>
    <n v="3.0154214399999999"/>
    <n v="59.99"/>
    <n v="59.99"/>
    <n v="73.18780000000001"/>
    <n v="73.18780000000001"/>
    <n v="14.637560000000002"/>
  </r>
  <r>
    <d v="2018-08-09T00:00:00"/>
    <s v="Seagate"/>
    <s v="IronWolf"/>
    <x v="0"/>
    <x v="0"/>
    <x v="5"/>
    <n v="5900"/>
    <n v="5.0999999999999996"/>
    <n v="11.99"/>
    <n v="9.259259259259256E-2"/>
    <n v="180"/>
    <n v="3"/>
    <n v="600000"/>
    <n v="180"/>
    <n v="1000000"/>
    <n v="100000000000000"/>
    <n v="24"/>
    <n v="4.3"/>
    <n v="3.56"/>
    <n v="0.8"/>
    <n v="4.0629297600000003"/>
    <n v="2.0314648800000001"/>
    <n v="67.989999999999995"/>
    <n v="33.994999999999997"/>
    <n v="82.947800000000001"/>
    <n v="41.4739"/>
    <n v="8.2947799999999994"/>
  </r>
  <r>
    <d v="2018-07-26T00:00:00"/>
    <s v="Seagate"/>
    <s v="IronWolf"/>
    <x v="0"/>
    <x v="0"/>
    <x v="6"/>
    <n v="5900"/>
    <n v="5.0999999999999996"/>
    <n v="11.99"/>
    <n v="9.259259259259256E-2"/>
    <n v="180"/>
    <n v="3"/>
    <n v="600000"/>
    <n v="180"/>
    <n v="1000000"/>
    <n v="100000000000000"/>
    <n v="24"/>
    <n v="4.8"/>
    <n v="4.8"/>
    <n v="0.6"/>
    <n v="5.2594560000000001"/>
    <n v="1.753152"/>
    <n v="102.41"/>
    <n v="34.136666666666663"/>
    <n v="124.9402"/>
    <n v="41.646733333333337"/>
    <n v="8.3293466666666678"/>
  </r>
  <r>
    <d v="2018-08-02T00:00:00"/>
    <s v="Seagate"/>
    <s v="IronWolf"/>
    <x v="0"/>
    <x v="0"/>
    <x v="0"/>
    <n v="5900"/>
    <n v="5.0999999999999996"/>
    <n v="9.5"/>
    <n v="9.259259259259256E-2"/>
    <n v="180"/>
    <n v="3"/>
    <n v="600000"/>
    <n v="180"/>
    <n v="1000000"/>
    <n v="100000000000000"/>
    <n v="21.6"/>
    <n v="4.8"/>
    <n v="3.95"/>
    <n v="0.5"/>
    <n v="4.5143664000000001"/>
    <n v="1.1285916"/>
    <n v="109.99"/>
    <n v="27.497499999999999"/>
    <n v="134.18779999999998"/>
    <n v="33.546949999999995"/>
    <n v="6.7093899999999991"/>
  </r>
  <r>
    <d v="2018-08-22T00:00:00"/>
    <s v="Seagate"/>
    <s v="IronWolf"/>
    <x v="0"/>
    <x v="0"/>
    <x v="1"/>
    <n v="7200"/>
    <n v="4"/>
    <n v="9.5"/>
    <n v="0.33333333333333326"/>
    <n v="210"/>
    <n v="3"/>
    <n v="600000"/>
    <n v="180"/>
    <n v="1000000"/>
    <n v="1000000000000000"/>
    <n v="21.6"/>
    <n v="8.1"/>
    <n v="7.2"/>
    <n v="0.6"/>
    <n v="8.0864136000000002"/>
    <n v="1.3477356"/>
    <n v="167.99"/>
    <n v="27.998333333333335"/>
    <n v="204.9478"/>
    <n v="34.157966666666667"/>
    <n v="6.8315933333333332"/>
  </r>
  <r>
    <d v="2018-07-26T00:00:00"/>
    <s v="Seagate"/>
    <s v="IronWolf"/>
    <x v="0"/>
    <x v="0"/>
    <x v="2"/>
    <n v="7200"/>
    <n v="4"/>
    <n v="9.5"/>
    <n v="0.33333333333333326"/>
    <n v="210"/>
    <n v="3"/>
    <n v="600000"/>
    <n v="180"/>
    <n v="1000000"/>
    <n v="1000000000000000"/>
    <n v="21.6"/>
    <n v="8.8000000000000007"/>
    <n v="7.6"/>
    <n v="0.6"/>
    <n v="8.5904448000000002"/>
    <n v="1.0738056"/>
    <n v="247.46"/>
    <n v="30.932500000000001"/>
    <n v="301.90120000000002"/>
    <n v="37.737650000000002"/>
    <n v="7.5475300000000001"/>
  </r>
  <r>
    <d v="2018-08-09T00:00:00"/>
    <s v="Seagate"/>
    <s v="IronWolf"/>
    <x v="0"/>
    <x v="0"/>
    <x v="3"/>
    <n v="7200"/>
    <m/>
    <m/>
    <n v="0.33333333333333326"/>
    <n v="210"/>
    <n v="3"/>
    <n v="600000"/>
    <n v="180"/>
    <n v="1000000"/>
    <n v="1000000000000000"/>
    <n v="21.6"/>
    <n v="7.8"/>
    <n v="5"/>
    <n v="0.8"/>
    <n v="6.0922032000000002"/>
    <n v="0.60922032000000004"/>
    <n v="279.99"/>
    <n v="27.999000000000002"/>
    <n v="341.58780000000002"/>
    <n v="34.15878"/>
    <n v="6.8317560000000004"/>
  </r>
  <r>
    <d v="2018-07-26T00:00:00"/>
    <s v="Seagate"/>
    <s v="IronWolf"/>
    <x v="0"/>
    <x v="0"/>
    <x v="12"/>
    <n v="7200"/>
    <n v="4.16"/>
    <m/>
    <n v="0.33333333333333326"/>
    <n v="210"/>
    <n v="3"/>
    <n v="600000"/>
    <n v="180"/>
    <n v="1000000"/>
    <n v="1000000000000000"/>
    <n v="21.6"/>
    <n v="7.8"/>
    <n v="5"/>
    <n v="0.8"/>
    <n v="6.0922032000000002"/>
    <n v="0.50768360000000001"/>
    <n v="389.99"/>
    <n v="32.499166666666667"/>
    <n v="475.7878"/>
    <n v="39.648983333333334"/>
    <n v="7.9297966666666664"/>
  </r>
  <r>
    <d v="2018-07-03T00:00:00"/>
    <s v="Seagate"/>
    <s v="IronWolf Pro"/>
    <x v="0"/>
    <x v="0"/>
    <x v="5"/>
    <n v="7200"/>
    <n v="4.16"/>
    <m/>
    <n v="0.33333333333333326"/>
    <n v="195"/>
    <n v="5"/>
    <n v="600000"/>
    <n v="300"/>
    <n v="1200000"/>
    <n v="1000000000000000"/>
    <n v="24"/>
    <n v="6.5"/>
    <n v="4.6100000000000003"/>
    <n v="0.8"/>
    <n v="5.4654513600000012"/>
    <n v="2.7327256800000006"/>
    <n v="129.99"/>
    <n v="64.995000000000005"/>
    <n v="129.99"/>
    <n v="64.995000000000005"/>
    <n v="12.999000000000001"/>
  </r>
  <r>
    <d v="2018-07-03T00:00:00"/>
    <s v="Seagate"/>
    <s v="IronWolf Pro"/>
    <x v="0"/>
    <x v="0"/>
    <x v="0"/>
    <n v="7200"/>
    <n v="4.16"/>
    <m/>
    <n v="0.33333333333333326"/>
    <n v="214"/>
    <n v="5"/>
    <n v="600000"/>
    <n v="300"/>
    <n v="1200000"/>
    <n v="1000000000000000"/>
    <n v="24"/>
    <n v="8.5"/>
    <n v="5.45"/>
    <n v="0.6"/>
    <n v="6.6400632000000002"/>
    <n v="1.6600158"/>
    <n v="174.99"/>
    <n v="43.747500000000002"/>
    <n v="174.99"/>
    <n v="43.747500000000002"/>
    <n v="8.7495000000000012"/>
  </r>
  <r>
    <d v="2018-07-17T00:00:00"/>
    <s v="Seagate"/>
    <s v="IronWolf Pro"/>
    <x v="0"/>
    <x v="0"/>
    <x v="1"/>
    <n v="7200"/>
    <n v="4.16"/>
    <m/>
    <n v="0.33333333333333326"/>
    <n v="214"/>
    <n v="5"/>
    <n v="600000"/>
    <n v="300"/>
    <n v="1200000"/>
    <n v="1000000000000000"/>
    <n v="24"/>
    <n v="8.1"/>
    <n v="7.5"/>
    <n v="0.6"/>
    <n v="8.3493864000000002"/>
    <n v="1.3915644"/>
    <n v="160.99"/>
    <n v="26.831666666666667"/>
    <n v="160.99"/>
    <n v="26.831666666666667"/>
    <n v="5.3663333333333334"/>
  </r>
  <r>
    <d v="2018-07-03T00:00:00"/>
    <s v="Seagate"/>
    <s v="IronWolf Pro"/>
    <x v="0"/>
    <x v="0"/>
    <x v="2"/>
    <n v="7200"/>
    <n v="4.16"/>
    <m/>
    <n v="0.33333333333333326"/>
    <n v="214"/>
    <n v="5"/>
    <n v="600000"/>
    <n v="300"/>
    <n v="1200000"/>
    <n v="1000000000000000"/>
    <n v="24"/>
    <n v="7.4"/>
    <n v="4.4000000000000004"/>
    <n v="0.8"/>
    <n v="5.478600000000001"/>
    <n v="0.68482500000000013"/>
    <n v="289.99"/>
    <n v="36.248750000000001"/>
    <n v="289.99"/>
    <n v="36.248750000000001"/>
    <n v="7.2497500000000006"/>
  </r>
  <r>
    <d v="2018-07-25T00:00:00"/>
    <s v="Seagate"/>
    <s v="IronWolf Pro"/>
    <x v="0"/>
    <x v="0"/>
    <x v="3"/>
    <n v="7200"/>
    <n v="4.16"/>
    <m/>
    <n v="0.33333333333333326"/>
    <n v="214"/>
    <n v="5"/>
    <n v="600000"/>
    <n v="300"/>
    <n v="1200000"/>
    <n v="1000000000000000"/>
    <n v="24"/>
    <n v="7.4"/>
    <n v="5"/>
    <n v="0.8"/>
    <n v="6.0045456000000001"/>
    <n v="0.60045455999999997"/>
    <n v="334.99"/>
    <n v="33.499000000000002"/>
    <n v="334.99"/>
    <n v="33.499000000000002"/>
    <n v="6.6998000000000006"/>
  </r>
  <r>
    <d v="2018-07-25T00:00:00"/>
    <s v="Seagate"/>
    <s v="IronWolf Pro"/>
    <x v="0"/>
    <x v="0"/>
    <x v="12"/>
    <n v="7200"/>
    <n v="4.16"/>
    <m/>
    <n v="0.33333333333333326"/>
    <n v="250"/>
    <n v="5"/>
    <n v="600000"/>
    <n v="300"/>
    <n v="1200000"/>
    <n v="1000000000000000"/>
    <n v="24"/>
    <n v="7.8"/>
    <n v="5"/>
    <n v="0.8"/>
    <n v="6.0922032000000002"/>
    <n v="0.50768360000000001"/>
    <n v="453.97"/>
    <n v="37.830833333333338"/>
    <n v="453.97"/>
    <n v="37.830833333333338"/>
    <n v="7.5661666666666676"/>
  </r>
  <r>
    <d v="2018-03-07T00:00:00"/>
    <s v="Seagate"/>
    <s v="Terascale"/>
    <x v="0"/>
    <x v="0"/>
    <x v="0"/>
    <n v="5900"/>
    <n v="5.0999999999999996"/>
    <n v="16"/>
    <n v="9.259259259259256E-2"/>
    <n v="140"/>
    <n v="3"/>
    <n v="300000"/>
    <n v="180"/>
    <n v="800000"/>
    <n v="100000000000000"/>
    <n v="24"/>
    <n v="6.49"/>
    <n v="4.59"/>
    <n v="0.77"/>
    <n v="5.4457284000000001"/>
    <n v="1.3614321"/>
    <n v="176.12"/>
    <n v="44.03"/>
    <n v="214.8664"/>
    <n v="53.7166"/>
    <n v="10.743320000000001"/>
  </r>
  <r>
    <d v="2018-06-08T00:00:00"/>
    <s v="Toshiba"/>
    <s v="DT01ACA"/>
    <x v="3"/>
    <x v="0"/>
    <x v="4"/>
    <n v="7200"/>
    <n v="4.17"/>
    <m/>
    <n v="0.33333333333333326"/>
    <n v="182.2"/>
    <n v="2"/>
    <m/>
    <m/>
    <m/>
    <n v="100000000000000"/>
    <m/>
    <n v="6.4"/>
    <n v="3.7"/>
    <m/>
    <n v="4.6458528000000001"/>
    <n v="4.6458528000000001"/>
    <n v="39.99"/>
    <n v="39.99"/>
    <n v="53.186700000000002"/>
    <n v="53.186700000000002"/>
    <n v="10.63734"/>
  </r>
  <r>
    <d v="2018-01-26T00:00:00"/>
    <s v="Toshiba"/>
    <s v="DT01ACA"/>
    <x v="3"/>
    <x v="0"/>
    <x v="5"/>
    <n v="7200"/>
    <n v="4.17"/>
    <m/>
    <n v="0.33333333333333326"/>
    <n v="181.5"/>
    <n v="2"/>
    <m/>
    <m/>
    <m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</r>
  <r>
    <d v="2017-12-11T00:00:00"/>
    <s v="Toshiba"/>
    <s v="DT01ACA"/>
    <x v="3"/>
    <x v="0"/>
    <x v="6"/>
    <n v="7200"/>
    <n v="4.17"/>
    <m/>
    <n v="0.33333333333333326"/>
    <n v="181.5"/>
    <n v="2"/>
    <m/>
    <m/>
    <m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</r>
  <r>
    <d v="2017-11-05T00:00:00"/>
    <s v="Toshiba"/>
    <s v="Enterprise Capacity"/>
    <x v="0"/>
    <x v="0"/>
    <x v="1"/>
    <n v="7200"/>
    <m/>
    <n v="8.5"/>
    <n v="0.33333333333333326"/>
    <n v="230"/>
    <n v="5"/>
    <n v="600000"/>
    <n v="550"/>
    <n v="2500000"/>
    <n v="1E+16"/>
    <m/>
    <n v="8.3000000000000007"/>
    <n v="5.6"/>
    <m/>
    <n v="6.7277208000000002"/>
    <n v="1.1212868"/>
    <n v="204"/>
    <n v="34"/>
    <n v="204"/>
    <n v="34"/>
    <n v="6.8"/>
  </r>
  <r>
    <d v="2017-12-11T00:00:00"/>
    <s v="Toshiba"/>
    <s v="Enterprise Capacity"/>
    <x v="0"/>
    <x v="0"/>
    <x v="2"/>
    <n v="7200"/>
    <m/>
    <n v="8.5"/>
    <n v="0.33333333333333326"/>
    <n v="230"/>
    <n v="5"/>
    <n v="600000"/>
    <n v="550"/>
    <n v="2500000"/>
    <n v="1E+16"/>
    <m/>
    <n v="9.1"/>
    <n v="6.4"/>
    <m/>
    <n v="7.6042968000000002"/>
    <n v="0.95053710000000002"/>
    <n v="259.99"/>
    <n v="32.498750000000001"/>
    <n v="259.99"/>
    <n v="32.498750000000001"/>
    <n v="6.4997500000000006"/>
  </r>
  <r>
    <d v="2017-11-05T00:00:00"/>
    <s v="Toshiba"/>
    <s v="Enterprise Capacity"/>
    <x v="0"/>
    <x v="0"/>
    <x v="3"/>
    <n v="7200"/>
    <m/>
    <n v="8.5"/>
    <n v="0.33333333333333326"/>
    <n v="237"/>
    <n v="5"/>
    <n v="600000"/>
    <n v="550"/>
    <n v="2500000"/>
    <n v="1E+16"/>
    <m/>
    <n v="10"/>
    <n v="7.3"/>
    <m/>
    <n v="8.5904448000000002"/>
    <n v="0.85904448"/>
    <n v="540.67999999999995"/>
    <n v="54.067999999999998"/>
    <n v="540.67999999999995"/>
    <n v="54.067999999999998"/>
    <n v="10.813599999999999"/>
  </r>
  <r>
    <d v="2017-12-11T00:00:00"/>
    <s v="Toshiba"/>
    <s v="Enterprise Capacity"/>
    <x v="0"/>
    <x v="0"/>
    <x v="12"/>
    <n v="7200"/>
    <m/>
    <m/>
    <n v="0.33333333333333326"/>
    <n v="242"/>
    <n v="5"/>
    <n v="600000"/>
    <n v="550"/>
    <n v="2500000"/>
    <n v="1E+16"/>
    <m/>
    <n v="7.5"/>
    <n v="3.93"/>
    <m/>
    <n v="5.0885236799999998"/>
    <n v="0.42404364"/>
    <m/>
    <s v=""/>
    <n v="0"/>
    <s v=""/>
    <s v=""/>
  </r>
  <r>
    <d v="2017-12-11T00:00:00"/>
    <s v="Toshiba"/>
    <s v="Enterprise Capacity"/>
    <x v="0"/>
    <x v="0"/>
    <x v="13"/>
    <n v="7200"/>
    <m/>
    <m/>
    <n v="0.33333333333333326"/>
    <n v="248"/>
    <n v="5"/>
    <n v="600000"/>
    <n v="550"/>
    <n v="2500000"/>
    <n v="1E+16"/>
    <m/>
    <n v="7.8"/>
    <n v="4.22"/>
    <m/>
    <n v="5.4084739200000005"/>
    <n v="0.38631956571428577"/>
    <m/>
    <s v=""/>
    <n v="0"/>
    <s v=""/>
    <s v=""/>
  </r>
  <r>
    <d v="2018-07-03T00:00:00"/>
    <s v="Toshiba"/>
    <s v="Enterprise Performance"/>
    <x v="0"/>
    <x v="1"/>
    <x v="9"/>
    <n v="10500"/>
    <n v="2.86"/>
    <n v="4"/>
    <n v="0.94444444444444442"/>
    <n v="226"/>
    <n v="5"/>
    <n v="600000"/>
    <m/>
    <n v="2000000"/>
    <n v="1E+17"/>
    <m/>
    <n v="7"/>
    <n v="3.5"/>
    <m/>
    <n v="4.6020240000000001"/>
    <n v="3.8350200000000001"/>
    <n v="289.99"/>
    <n v="241.65833333333336"/>
    <n v="289.99"/>
    <n v="241.65833333333336"/>
    <n v="48.331666666666671"/>
  </r>
  <r>
    <d v="2018-07-03T00:00:00"/>
    <s v="Toshiba"/>
    <s v="Enterprise Performance"/>
    <x v="0"/>
    <x v="1"/>
    <x v="10"/>
    <n v="10500"/>
    <n v="2.86"/>
    <n v="4"/>
    <n v="0.94444444444444442"/>
    <n v="226"/>
    <n v="5"/>
    <n v="600000"/>
    <m/>
    <n v="2000000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</r>
  <r>
    <d v="2017-12-19T00:00:00"/>
    <s v="Toshiba"/>
    <s v="Enterprise Performance"/>
    <x v="0"/>
    <x v="1"/>
    <x v="14"/>
    <n v="10500"/>
    <n v="2.86"/>
    <n v="4"/>
    <n v="0.94444444444444442"/>
    <n v="260"/>
    <n v="5"/>
    <n v="600000"/>
    <m/>
    <n v="2000000"/>
    <n v="1E+17"/>
    <m/>
    <n v="8.6999999999999993"/>
    <n v="5.0999999999999996"/>
    <m/>
    <n v="6.3770903999999993"/>
    <n v="2.6571209999999996"/>
    <m/>
    <s v=""/>
    <n v="0"/>
    <s v=""/>
    <s v=""/>
  </r>
  <r>
    <d v="2018-07-03T00:00:00"/>
    <s v="Toshiba"/>
    <s v="Enterprise Performance"/>
    <x v="0"/>
    <x v="1"/>
    <x v="11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11.468536"/>
    <n v="299.99"/>
    <n v="499.98333333333335"/>
    <n v="299.99"/>
    <n v="499.98333333333335"/>
    <n v="99.99666666666667"/>
  </r>
  <r>
    <d v="2018-01-14T00:00:00"/>
    <s v="Toshiba"/>
    <s v="Enterprise Performance"/>
    <x v="0"/>
    <x v="1"/>
    <x v="8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7.6456906666666669"/>
    <n v="150"/>
    <n v="166.66666666666666"/>
    <n v="150"/>
    <n v="166.66666666666666"/>
    <n v="33.333333333333329"/>
  </r>
  <r>
    <d v="2018-07-03T00:00:00"/>
    <s v="Toshiba"/>
    <s v="HDKFB06"/>
    <x v="1"/>
    <x v="1"/>
    <x v="6"/>
    <n v="5400"/>
    <n v="5.56"/>
    <m/>
    <n v="0"/>
    <n v="148"/>
    <n v="2"/>
    <n v="600000"/>
    <m/>
    <m/>
    <n v="100000000000000"/>
    <m/>
    <n v="1.7"/>
    <n v="0.7"/>
    <m/>
    <n v="0.98614800000000002"/>
    <n v="0.32871600000000001"/>
    <n v="128.69"/>
    <n v="42.896666666666668"/>
    <n v="171.15769999999998"/>
    <n v="57.052566666666657"/>
    <n v="11.410513333333331"/>
  </r>
  <r>
    <d v="2018-07-03T00:00:00"/>
    <s v="Toshiba"/>
    <s v="L200"/>
    <x v="1"/>
    <x v="1"/>
    <x v="4"/>
    <n v="5400"/>
    <n v="5.56"/>
    <m/>
    <n v="0"/>
    <m/>
    <n v="2"/>
    <m/>
    <m/>
    <m/>
    <n v="100000000000000"/>
    <m/>
    <n v="1.5"/>
    <n v="0.55000000000000004"/>
    <m/>
    <n v="0.81083280000000013"/>
    <n v="0.81083280000000013"/>
    <n v="44.99"/>
    <n v="44.99"/>
    <n v="59.8367"/>
    <n v="59.8367"/>
    <n v="11.96734"/>
  </r>
  <r>
    <d v="2018-07-03T00:00:00"/>
    <s v="Toshiba"/>
    <s v="L200"/>
    <x v="1"/>
    <x v="1"/>
    <x v="5"/>
    <n v="5400"/>
    <m/>
    <m/>
    <n v="0"/>
    <m/>
    <n v="2"/>
    <m/>
    <m/>
    <m/>
    <n v="100000000000000"/>
    <m/>
    <m/>
    <m/>
    <m/>
    <n v="0"/>
    <n v="0"/>
    <n v="97.03"/>
    <n v="48.515000000000001"/>
    <n v="129.04990000000001"/>
    <n v="64.524950000000004"/>
    <n v="12.904990000000002"/>
  </r>
  <r>
    <d v="2018-07-17T00:00:00"/>
    <s v="Toshiba"/>
    <s v="N300"/>
    <x v="0"/>
    <x v="0"/>
    <x v="0"/>
    <n v="7200"/>
    <n v="4.17"/>
    <m/>
    <n v="0.33333333333333326"/>
    <n v="200"/>
    <n v="3"/>
    <n v="300000"/>
    <n v="180"/>
    <n v="1000000"/>
    <n v="100000000000000"/>
    <m/>
    <n v="9.6"/>
    <n v="5.2"/>
    <m/>
    <n v="6.6619776000000011"/>
    <n v="1.6654944000000003"/>
    <n v="99.99"/>
    <n v="24.997499999999999"/>
    <n v="121.98779999999999"/>
    <n v="30.496949999999998"/>
    <n v="6.0993899999999996"/>
  </r>
  <r>
    <d v="2018-07-17T00:00:00"/>
    <s v="Toshiba"/>
    <s v="N300"/>
    <x v="0"/>
    <x v="0"/>
    <x v="1"/>
    <n v="7200"/>
    <n v="4.17"/>
    <m/>
    <n v="0.33333333333333326"/>
    <n v="210"/>
    <n v="3"/>
    <n v="300000"/>
    <n v="180"/>
    <n v="1000000"/>
    <n v="100000000000000"/>
    <m/>
    <n v="10.1"/>
    <n v="6.7"/>
    <m/>
    <n v="8.0864136000000002"/>
    <n v="1.3477356"/>
    <n v="189.99"/>
    <n v="31.665000000000003"/>
    <n v="231.7878"/>
    <n v="38.631300000000003"/>
    <n v="7.7262600000000008"/>
  </r>
  <r>
    <d v="2018-07-17T00:00:00"/>
    <s v="Toshiba"/>
    <s v="N300"/>
    <x v="0"/>
    <x v="0"/>
    <x v="2"/>
    <n v="7200"/>
    <n v="4.17"/>
    <m/>
    <n v="0.33333333333333326"/>
    <n v="240"/>
    <n v="3"/>
    <n v="300000"/>
    <n v="180"/>
    <n v="1000000"/>
    <n v="100000000000000"/>
    <m/>
    <n v="9.1999999999999993"/>
    <n v="6.2"/>
    <m/>
    <n v="7.4508960000000002"/>
    <n v="0.93136200000000002"/>
    <n v="245"/>
    <n v="30.625"/>
    <n v="298.89999999999998"/>
    <n v="37.362499999999997"/>
    <n v="7.4724999999999993"/>
  </r>
  <r>
    <d v="2018-07-18T00:00:00"/>
    <s v="Toshiba"/>
    <s v="N300"/>
    <x v="0"/>
    <x v="0"/>
    <x v="3"/>
    <n v="7200"/>
    <n v="4.17"/>
    <m/>
    <n v="0.33333333333333326"/>
    <n v="240"/>
    <n v="3"/>
    <n v="300000"/>
    <n v="180"/>
    <n v="1000000"/>
    <n v="100000000000000"/>
    <m/>
    <n v="9.1999999999999993"/>
    <n v="7.2"/>
    <m/>
    <n v="8.3274720000000002"/>
    <n v="0.83274720000000002"/>
    <m/>
    <s v=""/>
    <n v="0"/>
    <s v=""/>
    <s v=""/>
  </r>
  <r>
    <d v="2018-07-23T00:00:00"/>
    <s v="Toshiba"/>
    <s v="P300"/>
    <x v="3"/>
    <x v="0"/>
    <x v="4"/>
    <n v="7200"/>
    <n v="4.17"/>
    <m/>
    <n v="0.33333333333333326"/>
    <m/>
    <n v="2"/>
    <m/>
    <m/>
    <m/>
    <n v="100000000000000"/>
    <m/>
    <n v="6.4"/>
    <n v="3.7"/>
    <m/>
    <n v="4.6458528000000001"/>
    <n v="4.6458528000000001"/>
    <n v="39.99"/>
    <n v="39.99"/>
    <n v="53.186700000000002"/>
    <n v="53.186700000000002"/>
    <n v="10.63734"/>
  </r>
  <r>
    <d v="2018-08-09T00:00:00"/>
    <s v="Toshiba"/>
    <s v="P300"/>
    <x v="3"/>
    <x v="0"/>
    <x v="5"/>
    <n v="7200"/>
    <n v="4.17"/>
    <m/>
    <n v="0.33333333333333326"/>
    <m/>
    <n v="2"/>
    <m/>
    <m/>
    <m/>
    <n v="100000000000000"/>
    <m/>
    <n v="6.4"/>
    <n v="5.2"/>
    <m/>
    <n v="5.960716800000001"/>
    <n v="2.9803584000000005"/>
    <n v="48.99"/>
    <n v="24.495000000000001"/>
    <n v="65.156700000000001"/>
    <n v="32.57835"/>
    <n v="6.5156700000000001"/>
  </r>
  <r>
    <d v="2018-08-22T00:00:00"/>
    <s v="Toshiba"/>
    <s v="P300"/>
    <x v="3"/>
    <x v="0"/>
    <x v="6"/>
    <n v="7200"/>
    <n v="4.17"/>
    <m/>
    <n v="0.33333333333333326"/>
    <m/>
    <n v="2"/>
    <m/>
    <m/>
    <m/>
    <n v="100000000000000"/>
    <m/>
    <n v="6.4"/>
    <n v="5.2"/>
    <m/>
    <n v="5.960716800000001"/>
    <n v="1.9869056000000003"/>
    <n v="64.989999999999995"/>
    <n v="21.66333333333333"/>
    <n v="86.436700000000002"/>
    <n v="28.812233333333335"/>
    <n v="5.7624466666666674"/>
  </r>
  <r>
    <d v="2018-07-17T00:00:00"/>
    <s v="Toshiba"/>
    <s v="X300"/>
    <x v="3"/>
    <x v="0"/>
    <x v="0"/>
    <n v="7200"/>
    <n v="4.17"/>
    <m/>
    <n v="0.33333333333333326"/>
    <m/>
    <n v="2"/>
    <m/>
    <m/>
    <m/>
    <n v="100000000000000"/>
    <m/>
    <n v="11.3"/>
    <n v="6"/>
    <m/>
    <n v="7.7357832000000002"/>
    <n v="1.9339458"/>
    <n v="93.49"/>
    <n v="23.372499999999999"/>
    <n v="124.34169999999999"/>
    <n v="31.085424999999997"/>
    <n v="6.2170849999999991"/>
  </r>
  <r>
    <d v="2018-08-07T00:00:00"/>
    <s v="Toshiba"/>
    <s v="X300"/>
    <x v="3"/>
    <x v="0"/>
    <x v="7"/>
    <n v="7200"/>
    <n v="4.17"/>
    <m/>
    <n v="0.33333333333333326"/>
    <m/>
    <n v="2"/>
    <m/>
    <m/>
    <m/>
    <n v="100000000000000"/>
    <m/>
    <n v="11.3"/>
    <n v="6"/>
    <m/>
    <n v="7.7357832000000002"/>
    <n v="1.5471566400000001"/>
    <n v="109.99"/>
    <n v="21.997999999999998"/>
    <n v="146.2867"/>
    <n v="29.257339999999999"/>
    <n v="5.8514679999999997"/>
  </r>
  <r>
    <d v="2018-08-22T00:00:00"/>
    <s v="Toshiba"/>
    <s v="X300"/>
    <x v="3"/>
    <x v="0"/>
    <x v="1"/>
    <n v="7200"/>
    <n v="4.17"/>
    <m/>
    <n v="0.33333333333333326"/>
    <m/>
    <n v="2"/>
    <m/>
    <m/>
    <m/>
    <n v="100000000000000"/>
    <m/>
    <n v="11.3"/>
    <n v="6"/>
    <m/>
    <n v="7.7357832000000002"/>
    <n v="1.2892972"/>
    <n v="159.99"/>
    <n v="26.665000000000003"/>
    <n v="212.7867"/>
    <n v="35.464449999999999"/>
    <n v="7.0928899999999997"/>
  </r>
  <r>
    <d v="2018-07-17T00:00:00"/>
    <s v="Toshiba"/>
    <s v="X300"/>
    <x v="3"/>
    <x v="0"/>
    <x v="2"/>
    <n v="7200"/>
    <n v="4.17"/>
    <m/>
    <n v="0.33333333333333326"/>
    <m/>
    <n v="2"/>
    <m/>
    <m/>
    <m/>
    <n v="100000000000000"/>
    <m/>
    <n v="11.3"/>
    <n v="6"/>
    <m/>
    <n v="7.7357832000000002"/>
    <n v="0.96697290000000002"/>
    <n v="242.39"/>
    <n v="30.298749999999998"/>
    <n v="327.16669999999999"/>
    <n v="40.895837499999999"/>
    <n v="8.1791675000000001"/>
  </r>
  <r>
    <d v="2018-07-17T00:00:00"/>
    <s v="Toshiba"/>
    <s v="X300"/>
    <x v="3"/>
    <x v="0"/>
    <x v="3"/>
    <n v="7200"/>
    <n v="4.17"/>
    <m/>
    <n v="0.33333333333333326"/>
    <m/>
    <n v="2"/>
    <m/>
    <m/>
    <m/>
    <n v="100000000000000"/>
    <m/>
    <m/>
    <m/>
    <m/>
    <n v="0"/>
    <n v="0"/>
    <n v="374.6"/>
    <n v="37.46"/>
    <n v="498.21800000000002"/>
    <n v="49.821800000000003"/>
    <n v="9.964360000000001"/>
  </r>
  <r>
    <d v="2018-03-07T00:00:00"/>
    <s v="WD"/>
    <s v="Ae"/>
    <x v="0"/>
    <x v="0"/>
    <x v="1"/>
    <n v="5760"/>
    <m/>
    <m/>
    <n v="6.6666666666666652E-2"/>
    <n v="150"/>
    <n v="3"/>
    <n v="300000"/>
    <m/>
    <n v="500000"/>
    <n v="100000000000000"/>
    <m/>
    <n v="6.5"/>
    <n v="4.8"/>
    <m/>
    <n v="5.6320008000000001"/>
    <n v="0.93866680000000002"/>
    <n v="236"/>
    <n v="39.333333333333336"/>
    <n v="287.92"/>
    <n v="47.986666666666672"/>
    <n v="9.597333333333335"/>
  </r>
  <r>
    <d v="2018-01-30T00:00:00"/>
    <s v="WD"/>
    <s v="Black"/>
    <x v="1"/>
    <x v="1"/>
    <x v="4"/>
    <n v="7200"/>
    <m/>
    <m/>
    <n v="0.33333333333333326"/>
    <m/>
    <n v="5"/>
    <n v="600000"/>
    <m/>
    <m/>
    <n v="100000000000000"/>
    <n v="5.5"/>
    <n v="1.8"/>
    <n v="0.8"/>
    <n v="0.2"/>
    <n v="1.09572"/>
    <n v="1.09572"/>
    <n v="59.99"/>
    <n v="59.99"/>
    <n v="59.99"/>
    <n v="59.99"/>
    <n v="11.998000000000001"/>
  </r>
  <r>
    <d v="2018-08-22T00:00:00"/>
    <s v="WD"/>
    <s v="Black"/>
    <x v="3"/>
    <x v="0"/>
    <x v="4"/>
    <n v="7200"/>
    <m/>
    <m/>
    <n v="0.33333333333333326"/>
    <n v="150"/>
    <n v="5"/>
    <n v="300000"/>
    <m/>
    <m/>
    <n v="100000000000000"/>
    <m/>
    <n v="6.8"/>
    <n v="6.1"/>
    <n v="0.8"/>
    <n v="6.8372928000000002"/>
    <n v="6.8372928000000002"/>
    <n v="54.99"/>
    <n v="54.99"/>
    <n v="54.99"/>
    <n v="54.99"/>
    <n v="10.998000000000001"/>
  </r>
  <r>
    <d v="2018-08-22T00:00:00"/>
    <s v="WD"/>
    <s v="Black"/>
    <x v="3"/>
    <x v="0"/>
    <x v="5"/>
    <n v="7200"/>
    <m/>
    <m/>
    <n v="0.33333333333333326"/>
    <n v="164"/>
    <n v="5"/>
    <n v="300000"/>
    <m/>
    <m/>
    <n v="100000000000000"/>
    <m/>
    <n v="9.5"/>
    <n v="8.1"/>
    <n v="1.3"/>
    <n v="9.1821336000000002"/>
    <n v="4.5910668000000001"/>
    <n v="99.99"/>
    <n v="49.994999999999997"/>
    <n v="99.99"/>
    <n v="49.994999999999997"/>
    <n v="9.9989999999999988"/>
  </r>
  <r>
    <d v="2018-07-17T00:00:00"/>
    <s v="WD"/>
    <s v="Black"/>
    <x v="3"/>
    <x v="0"/>
    <x v="0"/>
    <n v="7200"/>
    <m/>
    <m/>
    <n v="0.33333333333333326"/>
    <n v="202"/>
    <n v="5"/>
    <n v="300000"/>
    <m/>
    <m/>
    <n v="100000000000000"/>
    <m/>
    <n v="9.1"/>
    <n v="5.8"/>
    <n v="1"/>
    <n v="7.0783512000000002"/>
    <n v="1.7695878"/>
    <n v="182.99"/>
    <n v="45.747500000000002"/>
    <n v="182.99"/>
    <n v="45.747500000000002"/>
    <n v="9.1494999999999997"/>
  </r>
  <r>
    <d v="2018-08-22T00:00:00"/>
    <s v="WD"/>
    <s v="Black"/>
    <x v="3"/>
    <x v="0"/>
    <x v="1"/>
    <n v="7200"/>
    <m/>
    <m/>
    <n v="0.33333333333333326"/>
    <n v="227"/>
    <n v="5"/>
    <n v="300000"/>
    <m/>
    <m/>
    <n v="100000000000000"/>
    <m/>
    <n v="9.1"/>
    <n v="7.1"/>
    <n v="1"/>
    <n v="8.2179000000000002"/>
    <n v="1.36965"/>
    <n v="209.995"/>
    <n v="34.999166666666667"/>
    <n v="209.995"/>
    <n v="34.999166666666667"/>
    <n v="6.9998333333333331"/>
  </r>
  <r>
    <d v="2018-07-03T00:00:00"/>
    <s v="WD"/>
    <s v="Blue"/>
    <x v="1"/>
    <x v="1"/>
    <x v="4"/>
    <n v="5400"/>
    <m/>
    <m/>
    <n v="0"/>
    <m/>
    <n v="2"/>
    <n v="600000"/>
    <m/>
    <m/>
    <n v="100000000000000"/>
    <n v="5"/>
    <n v="1.5"/>
    <n v="0.5"/>
    <n v="0.1"/>
    <n v="0.76700400000000002"/>
    <n v="0.76700400000000002"/>
    <n v="44.99"/>
    <n v="44.99"/>
    <n v="59.8367"/>
    <n v="59.8367"/>
    <n v="11.96734"/>
  </r>
  <r>
    <d v="2018-01-14T00:00:00"/>
    <s v="WD"/>
    <s v="Blue"/>
    <x v="1"/>
    <x v="1"/>
    <x v="5"/>
    <n v="5400"/>
    <m/>
    <m/>
    <n v="0"/>
    <m/>
    <n v="2"/>
    <n v="600000"/>
    <m/>
    <m/>
    <n v="100000000000000"/>
    <n v="5"/>
    <n v="1.7"/>
    <n v="0.8"/>
    <n v="0.2"/>
    <n v="1.0738056"/>
    <n v="0.53690280000000001"/>
    <n v="136.25"/>
    <n v="68.125"/>
    <n v="181.21250000000001"/>
    <n v="90.606250000000003"/>
    <n v="18.12125"/>
  </r>
  <r>
    <d v="2018-08-02T00:00:00"/>
    <s v="WD"/>
    <s v="Blue"/>
    <x v="3"/>
    <x v="0"/>
    <x v="4"/>
    <n v="5400"/>
    <m/>
    <m/>
    <n v="0"/>
    <n v="150"/>
    <n v="2"/>
    <n v="300000"/>
    <m/>
    <m/>
    <n v="100000000000000"/>
    <m/>
    <n v="3.3"/>
    <n v="2.5"/>
    <n v="0.4"/>
    <n v="2.9146152000000001"/>
    <n v="2.9146152000000001"/>
    <n v="44.99"/>
    <n v="44.99"/>
    <n v="59.8367"/>
    <n v="59.8367"/>
    <n v="11.96734"/>
  </r>
  <r>
    <d v="2018-08-22T00:00:00"/>
    <s v="WD"/>
    <s v="Blue"/>
    <x v="3"/>
    <x v="0"/>
    <x v="5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7641092"/>
    <n v="54.99"/>
    <n v="27.495000000000001"/>
    <n v="73.136700000000005"/>
    <n v="36.568350000000002"/>
    <n v="7.3136700000000001"/>
  </r>
  <r>
    <d v="2018-07-17T00:00:00"/>
    <s v="WD"/>
    <s v="Blue"/>
    <x v="3"/>
    <x v="0"/>
    <x v="6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1760728"/>
    <n v="91.99"/>
    <n v="30.66333333333333"/>
    <n v="122.3467"/>
    <n v="40.78223333333333"/>
    <n v="8.1564466666666657"/>
  </r>
  <r>
    <d v="2018-07-17T00:00:00"/>
    <s v="WD"/>
    <s v="Blue"/>
    <x v="3"/>
    <x v="0"/>
    <x v="0"/>
    <n v="5400"/>
    <m/>
    <m/>
    <n v="0"/>
    <n v="150"/>
    <n v="2"/>
    <n v="300000"/>
    <m/>
    <m/>
    <n v="100000000000000"/>
    <n v="21"/>
    <n v="5.3"/>
    <n v="3.4"/>
    <n v="0.4"/>
    <n v="4.1418216000000001"/>
    <n v="1.0354554"/>
    <n v="104.99"/>
    <n v="26.247499999999999"/>
    <n v="139.63669999999999"/>
    <n v="34.909174999999998"/>
    <n v="6.9818349999999993"/>
  </r>
  <r>
    <d v="2018-07-17T00:00:00"/>
    <s v="WD"/>
    <s v="Blue"/>
    <x v="3"/>
    <x v="0"/>
    <x v="1"/>
    <n v="5400"/>
    <m/>
    <m/>
    <n v="0"/>
    <n v="175"/>
    <n v="2"/>
    <n v="300000"/>
    <m/>
    <m/>
    <n v="100000000000000"/>
    <n v="21"/>
    <n v="5.3"/>
    <n v="3.4"/>
    <n v="0.4"/>
    <n v="4.1418216000000001"/>
    <n v="0.69030360000000002"/>
    <n v="176.99"/>
    <n v="29.498333333333335"/>
    <n v="235.39670000000001"/>
    <n v="39.232783333333337"/>
    <n v="7.8465566666666673"/>
  </r>
  <r>
    <d v="2018-07-25T00:00:00"/>
    <s v="WD"/>
    <s v="Gold Enterprise"/>
    <x v="0"/>
    <x v="0"/>
    <x v="4"/>
    <n v="7200"/>
    <m/>
    <m/>
    <n v="0.33333333333333326"/>
    <n v="184"/>
    <n v="5"/>
    <n v="600000"/>
    <n v="550"/>
    <n v="2000000"/>
    <n v="1000000000000000"/>
    <m/>
    <n v="8.1"/>
    <n v="5.9"/>
    <m/>
    <n v="6.9468648000000002"/>
    <n v="6.9468648000000002"/>
    <n v="72.995000000000005"/>
    <n v="72.995000000000005"/>
    <n v="72.995000000000005"/>
    <n v="72.995000000000005"/>
    <n v="14.599"/>
  </r>
  <r>
    <d v="2018-07-27T00:00:00"/>
    <s v="WD"/>
    <s v="Gold Enterprise"/>
    <x v="0"/>
    <x v="0"/>
    <x v="5"/>
    <n v="7200"/>
    <m/>
    <m/>
    <n v="0.33333333333333326"/>
    <n v="200"/>
    <n v="5"/>
    <n v="600000"/>
    <n v="550"/>
    <n v="2000000"/>
    <n v="1000000000000000"/>
    <m/>
    <n v="8.1"/>
    <n v="5.9"/>
    <m/>
    <n v="6.9468648000000002"/>
    <n v="3.4734324000000001"/>
    <n v="109.99"/>
    <n v="54.994999999999997"/>
    <n v="109.99"/>
    <n v="54.994999999999997"/>
    <n v="10.998999999999999"/>
  </r>
  <r>
    <d v="2018-07-26T00:00:00"/>
    <s v="WD"/>
    <s v="Gold Enterprise"/>
    <x v="0"/>
    <x v="0"/>
    <x v="0"/>
    <n v="7200"/>
    <m/>
    <m/>
    <n v="0.33333333333333326"/>
    <n v="201"/>
    <n v="5"/>
    <n v="600000"/>
    <n v="550"/>
    <n v="2000000"/>
    <n v="1000000000000000"/>
    <m/>
    <n v="9"/>
    <n v="7"/>
    <m/>
    <n v="8.1083280000000002"/>
    <n v="2.0270820000000001"/>
    <n v="164.99"/>
    <n v="41.247500000000002"/>
    <n v="164.99"/>
    <n v="41.247500000000002"/>
    <n v="8.2495000000000012"/>
  </r>
  <r>
    <d v="2018-08-04T00:00:00"/>
    <s v="WD"/>
    <s v="Gold Enterprise"/>
    <x v="0"/>
    <x v="0"/>
    <x v="1"/>
    <n v="7200"/>
    <m/>
    <m/>
    <n v="0.33333333333333326"/>
    <n v="226"/>
    <n v="5"/>
    <n v="600000"/>
    <n v="550"/>
    <n v="2000000"/>
    <n v="1000000000000000"/>
    <m/>
    <n v="9.3000000000000007"/>
    <n v="7.1"/>
    <m/>
    <n v="8.2617288000000002"/>
    <n v="1.3769548"/>
    <n v="224.99"/>
    <n v="37.498333333333335"/>
    <n v="224.99"/>
    <n v="37.498333333333335"/>
    <n v="7.4996666666666671"/>
  </r>
  <r>
    <d v="2018-07-17T00:00:00"/>
    <s v="WD"/>
    <s v="Gold Enterprise"/>
    <x v="0"/>
    <x v="0"/>
    <x v="2"/>
    <n v="7200"/>
    <m/>
    <m/>
    <n v="0.33333333333333326"/>
    <n v="205"/>
    <n v="5"/>
    <n v="600000"/>
    <n v="550"/>
    <n v="2500000"/>
    <n v="1000000000000000"/>
    <m/>
    <n v="7.2"/>
    <n v="5.0999999999999996"/>
    <m/>
    <n v="6.0483743999999993"/>
    <n v="0.75604679999999991"/>
    <n v="324.89"/>
    <n v="40.611249999999998"/>
    <n v="324.89"/>
    <n v="40.611249999999998"/>
    <n v="8.1222499999999993"/>
  </r>
  <r>
    <d v="2018-07-17T00:00:00"/>
    <s v="WD"/>
    <s v="Gold Enterprise"/>
    <x v="0"/>
    <x v="0"/>
    <x v="3"/>
    <n v="7200"/>
    <m/>
    <m/>
    <n v="0.33333333333333326"/>
    <n v="249"/>
    <n v="5"/>
    <n v="600000"/>
    <n v="550"/>
    <n v="2500000"/>
    <n v="1000000000000000"/>
    <m/>
    <n v="7.1"/>
    <n v="5"/>
    <m/>
    <n v="5.9388024000000001"/>
    <n v="0.59388024000000006"/>
    <n v="384.99"/>
    <n v="38.499000000000002"/>
    <n v="384.99"/>
    <n v="38.499000000000002"/>
    <n v="7.6998000000000006"/>
  </r>
  <r>
    <d v="2018-07-17T00:00:00"/>
    <s v="WD"/>
    <s v="Gold Enterprise"/>
    <x v="0"/>
    <x v="0"/>
    <x v="12"/>
    <n v="7200"/>
    <n v="4.16"/>
    <m/>
    <n v="0.33333333333333326"/>
    <n v="255"/>
    <n v="5"/>
    <n v="600000"/>
    <n v="550"/>
    <n v="2500000"/>
    <n v="1000000000000000"/>
    <m/>
    <n v="7"/>
    <n v="5"/>
    <m/>
    <n v="5.9168880000000001"/>
    <n v="0.49307400000000001"/>
    <n v="499"/>
    <n v="41.583333333333336"/>
    <n v="499"/>
    <n v="41.583333333333336"/>
    <n v="8.3166666666666664"/>
  </r>
  <r>
    <d v="2018-07-17T00:00:00"/>
    <s v="WD"/>
    <s v="Red NAS"/>
    <x v="0"/>
    <x v="1"/>
    <x v="15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1.1103296"/>
    <n v="61.97"/>
    <n v="82.626666666666665"/>
    <n v="75.603399999999993"/>
    <n v="100.80453333333332"/>
    <n v="20.160906666666666"/>
  </r>
  <r>
    <d v="2018-07-17T00:00:00"/>
    <s v="WD"/>
    <s v="Red NAS"/>
    <x v="0"/>
    <x v="1"/>
    <x v="4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0.83274720000000002"/>
    <n v="72.23"/>
    <n v="72.23"/>
    <n v="88.12060000000001"/>
    <n v="88.12060000000001"/>
    <n v="17.624120000000001"/>
  </r>
  <r>
    <d v="2018-07-03T00:00:00"/>
    <s v="WD"/>
    <s v="Red NAS"/>
    <x v="0"/>
    <x v="0"/>
    <x v="4"/>
    <n v="5400"/>
    <m/>
    <m/>
    <n v="0"/>
    <n v="150"/>
    <n v="3"/>
    <n v="600000"/>
    <n v="180"/>
    <n v="1000000"/>
    <n v="100000000000000"/>
    <n v="14.399999999999999"/>
    <n v="3.3"/>
    <n v="2.2999999999999998"/>
    <n v="0.4"/>
    <n v="2.7393000000000001"/>
    <n v="2.7393000000000001"/>
    <n v="62"/>
    <n v="62"/>
    <n v="75.64"/>
    <n v="75.64"/>
    <n v="15.128"/>
  </r>
  <r>
    <d v="2018-07-17T00:00:00"/>
    <s v="WD"/>
    <s v="Red NAS"/>
    <x v="0"/>
    <x v="0"/>
    <x v="5"/>
    <n v="5400"/>
    <m/>
    <m/>
    <n v="0"/>
    <n v="147"/>
    <n v="3"/>
    <n v="600000"/>
    <n v="180"/>
    <n v="1000000"/>
    <n v="100000000000000"/>
    <n v="20.759999999999998"/>
    <n v="4.0999999999999996"/>
    <n v="2.7"/>
    <n v="0.4"/>
    <n v="3.2652456000000005"/>
    <n v="1.6326228000000003"/>
    <n v="83.99"/>
    <n v="41.994999999999997"/>
    <n v="102.4678"/>
    <n v="51.233899999999998"/>
    <n v="10.246779999999999"/>
  </r>
  <r>
    <d v="2018-08-02T00:00:00"/>
    <s v="WD"/>
    <s v="Red NAS"/>
    <x v="0"/>
    <x v="0"/>
    <x v="6"/>
    <n v="5400"/>
    <m/>
    <n v="8.9"/>
    <n v="0"/>
    <n v="147"/>
    <n v="3"/>
    <n v="600000"/>
    <n v="180"/>
    <n v="1000000"/>
    <n v="100000000000000"/>
    <n v="20.759999999999998"/>
    <n v="4.0999999999999996"/>
    <n v="2.7"/>
    <n v="0.4"/>
    <n v="3.2652456000000005"/>
    <n v="1.0884152000000002"/>
    <n v="102.99"/>
    <n v="34.33"/>
    <n v="125.64779999999999"/>
    <n v="41.882599999999996"/>
    <n v="8.3765199999999993"/>
  </r>
  <r>
    <d v="2018-08-22T00:00:00"/>
    <s v="WD"/>
    <s v="Red NAS"/>
    <x v="0"/>
    <x v="0"/>
    <x v="0"/>
    <n v="5400"/>
    <m/>
    <m/>
    <n v="0"/>
    <n v="150"/>
    <n v="3"/>
    <n v="600000"/>
    <n v="180"/>
    <n v="1000000"/>
    <n v="100000000000000"/>
    <n v="21"/>
    <n v="4.5"/>
    <n v="3.3"/>
    <n v="0.4"/>
    <n v="3.8788488000000001"/>
    <n v="0.96971220000000002"/>
    <n v="117.99"/>
    <n v="29.497499999999999"/>
    <n v="143.9478"/>
    <n v="35.98695"/>
    <n v="7.1973900000000004"/>
  </r>
  <r>
    <d v="2018-01-30T00:00:00"/>
    <s v="WD"/>
    <s v="Red NAS"/>
    <x v="0"/>
    <x v="0"/>
    <x v="7"/>
    <n v="5400"/>
    <m/>
    <m/>
    <n v="0"/>
    <m/>
    <n v="3"/>
    <n v="600000"/>
    <n v="180"/>
    <n v="1000000"/>
    <n v="100000000000000"/>
    <n v="21"/>
    <n v="5.3"/>
    <n v="3.4"/>
    <n v="0.4"/>
    <n v="4.1418216000000001"/>
    <n v="0.82836432000000004"/>
    <n v="248.99"/>
    <n v="49.798000000000002"/>
    <n v="303.76780000000002"/>
    <n v="60.753560000000007"/>
    <n v="12.150712000000002"/>
  </r>
  <r>
    <d v="2018-08-03T00:00:00"/>
    <s v="WD"/>
    <s v="Red NAS"/>
    <x v="0"/>
    <x v="0"/>
    <x v="1"/>
    <n v="5400"/>
    <m/>
    <m/>
    <n v="0"/>
    <n v="175"/>
    <n v="3"/>
    <n v="600000"/>
    <n v="180"/>
    <n v="1000000"/>
    <n v="100000000000000"/>
    <n v="21"/>
    <n v="5.3"/>
    <n v="3.4"/>
    <n v="0.4"/>
    <n v="4.1418216000000001"/>
    <n v="0.69030360000000002"/>
    <n v="172.995"/>
    <n v="28.8325"/>
    <n v="211.0539"/>
    <n v="35.175649999999997"/>
    <n v="7.0351299999999997"/>
  </r>
  <r>
    <d v="2018-07-03T00:00:00"/>
    <s v="WD"/>
    <s v="Red NAS"/>
    <x v="0"/>
    <x v="0"/>
    <x v="2"/>
    <n v="5400"/>
    <m/>
    <m/>
    <n v="0"/>
    <n v="178"/>
    <n v="3"/>
    <n v="600000"/>
    <n v="180"/>
    <n v="1000000"/>
    <n v="100000000000000"/>
    <n v="21.48"/>
    <n v="6.4"/>
    <n v="5.2"/>
    <n v="0.7"/>
    <n v="5.960716800000001"/>
    <n v="0.74508960000000013"/>
    <n v="274.99"/>
    <n v="34.373750000000001"/>
    <n v="335.48779999999999"/>
    <n v="41.935974999999999"/>
    <n v="8.3871950000000002"/>
  </r>
  <r>
    <d v="2018-07-03T00:00:00"/>
    <s v="WD"/>
    <s v="Red NAS"/>
    <x v="0"/>
    <x v="0"/>
    <x v="3"/>
    <n v="5400"/>
    <m/>
    <m/>
    <n v="0"/>
    <n v="210"/>
    <n v="3"/>
    <n v="600000"/>
    <n v="180"/>
    <n v="1000000"/>
    <n v="100000000000000"/>
    <n v="21.48"/>
    <n v="5.7"/>
    <n v="2.8"/>
    <n v="0.5"/>
    <n v="3.7035336000000001"/>
    <n v="0.37035336000000002"/>
    <n v="324.99"/>
    <n v="32.499000000000002"/>
    <n v="396.48779999999999"/>
    <n v="39.648780000000002"/>
    <n v="7.9297560000000002"/>
  </r>
  <r>
    <d v="2018-07-17T00:00:00"/>
    <s v="WD"/>
    <s v="RED NAS Pro"/>
    <x v="0"/>
    <x v="0"/>
    <x v="5"/>
    <n v="7200"/>
    <m/>
    <m/>
    <n v="0.33333333333333326"/>
    <n v="164"/>
    <n v="5"/>
    <n v="600000"/>
    <n v="300"/>
    <n v="1000000"/>
    <n v="1000000000000000"/>
    <n v="22.799999999999997"/>
    <n v="7.8"/>
    <n v="6"/>
    <n v="1.4"/>
    <n v="6.9687792000000002"/>
    <n v="3.4843896000000001"/>
    <n v="109.99"/>
    <n v="54.994999999999997"/>
    <n v="109.99"/>
    <n v="54.994999999999997"/>
    <n v="10.998999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29" applyNumberFormats="0" applyBorderFormats="0" applyFontFormats="0" applyPatternFormats="0" applyAlignmentFormats="0" applyWidthHeightFormats="1" dataCaption="Values" grandTotalCaption="Avg By Size" updatedVersion="6" minRefreshableVersion="3" showCalcMbrs="0" useAutoFormatting="1" colGrandTotals="0" itemPrintTitles="1" createdVersion="3" indent="0" outline="1" outlineData="1" multipleFieldFilters="0" chartFormat="5">
  <location ref="A5:B17" firstHeaderRow="1" firstDataRow="1" firstDataCol="1" rowPageCount="2" colPageCount="1"/>
  <pivotFields count="27">
    <pivotField numFmtId="14" showAll="0"/>
    <pivotField showAll="0" defaultSubtotal="0"/>
    <pivotField showAll="0" defaultSubtotal="0"/>
    <pivotField axis="axisPage" showAll="0" defaultSubtotal="0">
      <items count="5">
        <item x="0"/>
        <item m="1" x="4"/>
        <item x="2"/>
        <item x="1"/>
        <item x="3"/>
      </items>
    </pivotField>
    <pivotField axis="axisPage" numFmtId="2" showAll="0" defaultSubtotal="0">
      <items count="2">
        <item x="1"/>
        <item x="0"/>
      </items>
    </pivotField>
    <pivotField axis="axisRow" numFmtId="2" showAll="0" sortType="ascending" defaultSubtotal="0">
      <items count="18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</items>
    </pivotField>
    <pivotField numFmtId="3" showAll="0" defaultSubtotal="0"/>
    <pivotField showAll="0" defaultSubtotal="0"/>
    <pivotField showAll="0" defaultSubtotal="0"/>
    <pivotField numFmtId="9"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numFmtId="164" showAll="0" defaultSubtota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 TB/year" fld="26" subtotal="average" baseField="0" baseItem="0" numFmtId="164"/>
  </dataFields>
  <formats count="6">
    <format dxfId="32">
      <pivotArea outline="0" collapsedLevelsAreSubtotals="1" fieldPosition="0"/>
    </format>
    <format dxfId="31">
      <pivotArea dataOnly="0" labelOnly="1" fieldPosition="0">
        <references count="1">
          <reference field="5" count="0"/>
        </references>
      </pivotArea>
    </format>
    <format dxfId="30">
      <pivotArea type="all" dataOnly="0" outline="0" fieldPosition="0"/>
    </format>
    <format dxfId="29">
      <pivotArea field="5" type="button" dataOnly="0" labelOnly="1" outline="0" axis="axisRow" fieldPosition="0"/>
    </format>
    <format dxfId="28">
      <pivotArea dataOnly="0" labelOnly="1" outline="0" axis="axisValues" fieldPosition="0"/>
    </format>
    <format dxfId="27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4000000}" name="PivotTable7" cacheId="24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 chartFormat="13">
  <location ref="A82:B112" firstHeaderRow="1" firstDataRow="1" firstDataCol="1" rowPageCount="4" colPageCount="1"/>
  <pivotFields count="31">
    <pivotField numFmtId="14" showAll="0"/>
    <pivotField axis="axisPage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>
      <items count="19"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m="1" x="16"/>
        <item t="default"/>
      </items>
    </pivotField>
    <pivotField axis="axisRow" numFmtId="3" showAll="0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/>
    <pivotField showAll="0"/>
    <pivotField showAll="0"/>
    <pivotField axis="axisPage" multipleItemSelectionAllowed="1" showAll="0">
      <items count="8">
        <item x="6"/>
        <item x="4"/>
        <item x="0"/>
        <item x="5"/>
        <item h="1" x="2"/>
        <item h="1" x="3"/>
        <item h="1"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  <pivotField showAll="0"/>
  </pivotFields>
  <rowFields count="2">
    <field x="5"/>
    <field x="6"/>
  </rowFields>
  <rowItems count="30">
    <i>
      <x v="4"/>
    </i>
    <i r="1">
      <x/>
    </i>
    <i r="1">
      <x v="2"/>
    </i>
    <i>
      <x v="7"/>
    </i>
    <i r="1">
      <x/>
    </i>
    <i r="1">
      <x v="2"/>
    </i>
    <i r="1">
      <x v="3"/>
    </i>
    <i>
      <x v="9"/>
    </i>
    <i r="1">
      <x/>
    </i>
    <i r="1">
      <x v="2"/>
    </i>
    <i r="1">
      <x v="3"/>
    </i>
    <i>
      <x v="10"/>
    </i>
    <i r="1">
      <x/>
    </i>
    <i r="1">
      <x v="2"/>
    </i>
    <i r="1">
      <x v="3"/>
    </i>
    <i>
      <x v="11"/>
    </i>
    <i r="1">
      <x/>
    </i>
    <i>
      <x v="12"/>
    </i>
    <i r="1">
      <x/>
    </i>
    <i r="1">
      <x v="1"/>
    </i>
    <i r="1">
      <x v="3"/>
    </i>
    <i>
      <x v="13"/>
    </i>
    <i r="1">
      <x/>
    </i>
    <i r="1">
      <x v="3"/>
    </i>
    <i>
      <x v="14"/>
    </i>
    <i r="1">
      <x/>
    </i>
    <i r="1">
      <x v="3"/>
    </i>
    <i>
      <x v="15"/>
    </i>
    <i r="1">
      <x v="3"/>
    </i>
    <i t="grand">
      <x/>
    </i>
  </rowItems>
  <colItems count="1">
    <i/>
  </colItems>
  <pageFields count="4">
    <pageField fld="3" item="0" hier="-1"/>
    <pageField fld="4" item="1" hier="-1"/>
    <pageField fld="1" hier="-1"/>
    <pageField fld="14" hier="-1"/>
  </pageFields>
  <dataFields count="1">
    <dataField name="Average of MaxStartupWatts" fld="16" subtotal="average" baseField="5" baseItem="12" numFmtId="2"/>
  </dataField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3000000}" name="PivotTable6" cacheId="24" applyNumberFormats="0" applyBorderFormats="0" applyFontFormats="0" applyPatternFormats="0" applyAlignmentFormats="0" applyWidthHeightFormats="1" dataCaption="Values" grandTotalCaption="Average" updatedVersion="6" minRefreshableVersion="3" showCalcMbrs="0" useAutoFormatting="1" colGrandTotals="0" itemPrintTitles="1" createdVersion="3" indent="0" outline="1" outlineData="1" multipleFieldFilters="0" chartFormat="2">
  <location ref="A41:B53" firstHeaderRow="1" firstDataRow="1" firstDataCol="1" rowPageCount="2" colPageCount="1"/>
  <pivotFields count="31">
    <pivotField numFmtId="14" showAll="0"/>
    <pivotField showAll="0"/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 sortType="ascending">
      <items count="19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t="default"/>
      </items>
    </pivotField>
    <pivotField numFmtId="3" showAll="0"/>
    <pivotField showAll="0"/>
    <pivotField showAll="0"/>
    <pivotField numFmtId="9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  <pivotField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Energy$year" fld="20" subtotal="average" baseField="0" baseItem="0" numFmtId="169"/>
  </dataFields>
  <formats count="8">
    <format dxfId="40">
      <pivotArea dataOnly="0" labelOnly="1" fieldPosition="0">
        <references count="1">
          <reference field="5" count="0"/>
        </references>
      </pivotArea>
    </format>
    <format dxfId="39">
      <pivotArea outline="0" collapsedLevelsAreSubtotals="1" fieldPosition="0"/>
    </format>
    <format dxfId="38">
      <pivotArea type="all" dataOnly="0" outline="0" fieldPosition="0"/>
    </format>
    <format dxfId="37">
      <pivotArea outline="0" collapsedLevelsAreSubtotals="1" fieldPosition="0"/>
    </format>
    <format dxfId="36">
      <pivotArea field="5" type="button" dataOnly="0" labelOnly="1" outline="0" axis="axisRow" fieldPosition="0"/>
    </format>
    <format dxfId="35">
      <pivotArea dataOnly="0" labelOnly="1" outline="0" axis="axisValues" fieldPosition="0"/>
    </format>
    <format dxfId="34">
      <pivotArea dataOnly="0" labelOnly="1" fieldPosition="0">
        <references count="1">
          <reference field="5" count="0"/>
        </references>
      </pivotArea>
    </format>
    <format dxfId="33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PivotTable5" cacheId="24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 chartFormat="6">
  <location ref="A60:B74" firstHeaderRow="1" firstDataRow="1" firstDataCol="1" rowPageCount="2" colPageCount="1"/>
  <pivotFields count="31">
    <pivotField numFmtId="14"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numFmtId="2" showAll="0"/>
    <pivotField axis="axisRow" numFmtId="3" showAll="0" sortType="ascending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numFmtId="164" showAll="0"/>
    <pivotField showAll="0"/>
    <pivotField showAll="0"/>
    <pivotField showAll="0"/>
    <pivotField showAll="0"/>
  </pivotFields>
  <rowFields count="2">
    <field x="6"/>
    <field x="1"/>
  </rowFields>
  <rowItems count="14">
    <i>
      <x/>
    </i>
    <i r="1">
      <x v="3"/>
    </i>
    <i>
      <x v="1"/>
    </i>
    <i r="1">
      <x v="3"/>
    </i>
    <i>
      <x v="2"/>
    </i>
    <i r="1">
      <x v="1"/>
    </i>
    <i>
      <x v="3"/>
    </i>
    <i r="1">
      <x/>
    </i>
    <i r="1">
      <x v="1"/>
    </i>
    <i r="1">
      <x v="2"/>
    </i>
    <i r="1">
      <x v="3"/>
    </i>
    <i>
      <x v="7"/>
    </i>
    <i r="1">
      <x v="1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PerTB" fld="25" subtotal="average" baseField="6" baseItem="0" numFmtId="164"/>
  </dataFields>
  <formats count="1">
    <format dxfId="41">
      <pivotArea outline="0" collapsedLevelsAreSubtotals="1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PivotTable2" cacheId="24" applyNumberFormats="0" applyBorderFormats="0" applyFontFormats="0" applyPatternFormats="0" applyAlignmentFormats="0" applyWidthHeightFormats="1" dataCaption="Values" grandTotalCaption="Average" updatedVersion="6" minRefreshableVersion="3" useAutoFormatting="1" colGrandTotals="0" itemPrintTitles="1" createdVersion="6" indent="0" outline="1" outlineData="1" multipleFieldFilters="0" chartFormat="1">
  <location ref="A23:B35" firstHeaderRow="1" firstDataRow="1" firstDataCol="1" rowPageCount="2" colPageCount="1"/>
  <pivotFields count="31">
    <pivotField numFmtId="14" subtotalTop="0" showAll="0"/>
    <pivotField subtotalTop="0" showAll="0"/>
    <pivotField subtotalTop="0" showAll="0"/>
    <pivotField axis="axisPage" subtotalTop="0" showAll="0">
      <items count="6">
        <item x="0"/>
        <item m="1" x="4"/>
        <item x="2"/>
        <item x="1"/>
        <item x="3"/>
        <item t="default"/>
      </items>
    </pivotField>
    <pivotField axis="axisPage" numFmtId="2" showAll="0" defaultSubtotal="0">
      <items count="2">
        <item x="1"/>
        <item x="0"/>
      </items>
    </pivotField>
    <pivotField axis="axisRow" numFmtId="2" subtotalTop="0" showAll="0" sortType="ascending">
      <items count="19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t="default"/>
      </items>
    </pivotField>
    <pivotField numFmtId="3" subtotalTop="0" showAll="0"/>
    <pivotField subtotalTop="0" showAll="0"/>
    <pivotField subtotalTop="0" showAll="0"/>
    <pivotField numFmtId="9" subtotalTop="0" showAll="0"/>
    <pivotField subtotalTop="0" showAll="0"/>
    <pivotField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showAll="0"/>
    <pivotField showAll="0"/>
    <pivotField showAll="0"/>
    <pivotField subtotalTop="0"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Cost per TB per year" fld="21" subtotal="average" baseField="4" baseItem="0" numFmtId="169"/>
  </dataFields>
  <formats count="12">
    <format dxfId="53">
      <pivotArea outline="0" collapsedLevelsAreSubtotals="1" fieldPosition="0"/>
    </format>
    <format dxfId="52">
      <pivotArea collapsedLevelsAreSubtotals="1" fieldPosition="0">
        <references count="1">
          <reference field="5" count="1">
            <x v="8"/>
          </reference>
        </references>
      </pivotArea>
    </format>
    <format dxfId="51">
      <pivotArea outline="0" collapsedLevelsAreSubtotals="1" fieldPosition="0"/>
    </format>
    <format dxfId="50">
      <pivotArea outline="0" collapsedLevelsAreSubtotals="1" fieldPosition="0"/>
    </format>
    <format dxfId="49">
      <pivotArea dataOnly="0" labelOnly="1" fieldPosition="0">
        <references count="1">
          <reference field="5" count="0"/>
        </references>
      </pivotArea>
    </format>
    <format dxfId="48">
      <pivotArea dataOnly="0" labelOnly="1" fieldPosition="0">
        <references count="1">
          <reference field="5" count="0"/>
        </references>
      </pivotArea>
    </format>
    <format dxfId="47">
      <pivotArea type="all" dataOnly="0" outline="0" fieldPosition="0"/>
    </format>
    <format dxfId="46">
      <pivotArea outline="0" collapsedLevelsAreSubtotals="1" fieldPosition="0"/>
    </format>
    <format dxfId="45">
      <pivotArea field="5" type="button" dataOnly="0" labelOnly="1" outline="0" axis="axisRow" fieldPosition="0"/>
    </format>
    <format dxfId="44">
      <pivotArea dataOnly="0" labelOnly="1" outline="0" axis="axisValues" fieldPosition="0"/>
    </format>
    <format dxfId="43">
      <pivotArea dataOnly="0" labelOnly="1" fieldPosition="0">
        <references count="1">
          <reference field="5" count="0"/>
        </references>
      </pivotArea>
    </format>
    <format dxfId="42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5" displayName="Table5" ref="A2:AE149" totalsRowShown="0" headerRowDxfId="84" headerRowBorderDxfId="83" tableBorderDxfId="82">
  <autoFilter ref="A2:AE149" xr:uid="{00000000-0009-0000-0100-000005000000}"/>
  <sortState ref="A3:X98">
    <sortCondition ref="B3:B98"/>
    <sortCondition ref="C3:C98"/>
    <sortCondition ref="F3:F98"/>
    <sortCondition ref="G3:G98"/>
  </sortState>
  <tableColumns count="31">
    <tableColumn id="1" xr3:uid="{00000000-0010-0000-0000-000001000000}" name="Date" dataDxfId="81"/>
    <tableColumn id="2" xr3:uid="{00000000-0010-0000-0000-000002000000}" name="Manu"/>
    <tableColumn id="3" xr3:uid="{00000000-0010-0000-0000-000003000000}" name="Model" dataDxfId="80"/>
    <tableColumn id="21" xr3:uid="{00000000-0010-0000-0000-000015000000}" name="Type" dataDxfId="79"/>
    <tableColumn id="29" xr3:uid="{00000000-0010-0000-0000-00001D000000}" name="FormFactor" dataDxfId="78"/>
    <tableColumn id="5" xr3:uid="{00000000-0010-0000-0000-000005000000}" name="SizTB" dataDxfId="77"/>
    <tableColumn id="4" xr3:uid="{00000000-0010-0000-0000-000004000000}" name="RPM" dataDxfId="76"/>
    <tableColumn id="27" xr3:uid="{00000000-0010-0000-0000-00001B000000}" name="AvgLatency" dataDxfId="75"/>
    <tableColumn id="28" xr3:uid="{00000000-0010-0000-0000-00001C000000}" name="SeekT" dataDxfId="74"/>
    <tableColumn id="6" xr3:uid="{00000000-0010-0000-0000-000006000000}" name="PerfCmp" dataDxfId="73">
      <calculatedColumnFormula>(Table5[[#This Row],[RPM]]/5400-1)</calculatedColumnFormula>
    </tableColumn>
    <tableColumn id="26" xr3:uid="{00000000-0010-0000-0000-00001A000000}" name="XferRate" dataDxfId="72"/>
    <tableColumn id="7" xr3:uid="{00000000-0010-0000-0000-000007000000}" name="Warranty"/>
    <tableColumn id="22" xr3:uid="{00000000-0010-0000-0000-000016000000}" name="CycleCnt" dataDxfId="71"/>
    <tableColumn id="23" xr3:uid="{00000000-0010-0000-0000-000017000000}" name="WorkLoad"/>
    <tableColumn id="24" xr3:uid="{00000000-0010-0000-0000-000018000000}" name="MTBF" dataDxfId="70"/>
    <tableColumn id="25" xr3:uid="{00000000-0010-0000-0000-000019000000}" name="RErrRate" dataDxfId="69"/>
    <tableColumn id="18" xr3:uid="{00000000-0010-0000-0000-000012000000}" name="MaxStartupWatts" dataDxfId="68"/>
    <tableColumn id="8" xr3:uid="{00000000-0010-0000-0000-000008000000}" name="Watts Active" dataDxfId="67"/>
    <tableColumn id="9" xr3:uid="{00000000-0010-0000-0000-000009000000}" name="Watts Idle" dataDxfId="66"/>
    <tableColumn id="10" xr3:uid="{00000000-0010-0000-0000-00000A000000}" name="WattsStandby" dataDxfId="65"/>
    <tableColumn id="31" xr3:uid="{00000000-0010-0000-0000-00001F000000}" name="Energy$year" dataDxfId="64"/>
    <tableColumn id="30" xr3:uid="{00000000-0010-0000-0000-00001E000000}" name="Energy$yearPerTB" dataDxfId="63"/>
    <tableColumn id="11" xr3:uid="{00000000-0010-0000-0000-00000B000000}" name="Cost" dataDxfId="62"/>
    <tableColumn id="12" xr3:uid="{00000000-0010-0000-0000-00000C000000}" name="$ TB" dataDxfId="61">
      <calculatedColumnFormula>Table5[[#This Row],[Cost]]/Table5[[#This Row],[SizTB]]*Exchange_Rate</calculatedColumnFormula>
    </tableColumn>
    <tableColumn id="13" xr3:uid="{00000000-0010-0000-0000-00000D000000}" name="$+Warr" dataDxfId="60">
      <calculatedColumnFormula>Table5[[#This Row],[Cost]]+((CompareWarrYrs-Table5[[#This Row],[Warranty]])*(Incremental_Warr_Yr*Table5[[#This Row],[Cost]]))</calculatedColumnFormula>
    </tableColumn>
    <tableColumn id="14" xr3:uid="{00000000-0010-0000-0000-00000E000000}" name="$PerTB" dataDxfId="59">
      <calculatedColumnFormula>Table5[[#This Row],[$+Warr]]/Table5[[#This Row],[SizTB]]</calculatedColumnFormula>
    </tableColumn>
    <tableColumn id="15" xr3:uid="{00000000-0010-0000-0000-00000F000000}" name="$ TB/year" dataDxfId="58">
      <calculatedColumnFormula>Table5[[#This Row],[$PerTB]]/CompareWarrYrs</calculatedColumnFormula>
    </tableColumn>
    <tableColumn id="34" xr3:uid="{00000000-0010-0000-0000-000022000000}" name="$TB/Yr+Power" dataDxfId="57">
      <calculatedColumnFormula>IF(OR(Table5[[#This Row],[$ TB/year]]="",Table5[[#This Row],[Energy$yearPerTB]]=""),"",Table5[[#This Row],[$ TB/year]]+Table5[[#This Row],[Energy$yearPerTB]])</calculatedColumnFormula>
    </tableColumn>
    <tableColumn id="17" xr3:uid="{00000000-0010-0000-0000-000011000000}" name="DBA_Idle" dataDxfId="56"/>
    <tableColumn id="16" xr3:uid="{00000000-0010-0000-0000-000010000000}" name="DBA_Seek" dataDxfId="55"/>
    <tableColumn id="19" xr3:uid="{00000000-0010-0000-0000-000013000000}" name="Notes" dataDxfId="54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newegg.com/Product/Product.aspx?Item=22-179-270&amp;Tpk=22-179-270" TargetMode="External"/><Relationship Id="rId21" Type="http://schemas.openxmlformats.org/officeDocument/2006/relationships/hyperlink" Target="https://www.seagate.com/internal-hard-drives/hdd/ironwolf/" TargetMode="External"/><Relationship Id="rId42" Type="http://schemas.openxmlformats.org/officeDocument/2006/relationships/hyperlink" Target="https://toshiba.semicon-storage.com/us/product/storage-products/enterprise-hdd/mg06acaxxxx.html" TargetMode="External"/><Relationship Id="rId63" Type="http://schemas.openxmlformats.org/officeDocument/2006/relationships/hyperlink" Target="http://www.hgst.com/avl/src_front/compatibility.php?mode=product_pdf&amp;pid=106&amp;lang=en" TargetMode="External"/><Relationship Id="rId84" Type="http://schemas.openxmlformats.org/officeDocument/2006/relationships/hyperlink" Target="https://www.newegg.com/Product/Product.aspx?item=N82E16822146071" TargetMode="External"/><Relationship Id="rId138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159" Type="http://schemas.openxmlformats.org/officeDocument/2006/relationships/hyperlink" Target="https://www.newegg.com/Product/Product.aspx?Item=1Z4-0002-002R5&amp;cm_re=wd_red_nas_2.5-_-1Z4-0002-002R5-_-Product" TargetMode="External"/><Relationship Id="rId170" Type="http://schemas.openxmlformats.org/officeDocument/2006/relationships/hyperlink" Target="https://www.newegg.com/Product/Product.aspx?Item=9SIA99462P4004" TargetMode="External"/><Relationship Id="rId191" Type="http://schemas.openxmlformats.org/officeDocument/2006/relationships/hyperlink" Target="https://www.newegg.com/Product/Product.aspx?Item=9SIA6ZP6P20888&amp;cm_re=segate_2.5%22_disk_drive-_-1Z4-002P-008Z8-_-Product" TargetMode="External"/><Relationship Id="rId205" Type="http://schemas.openxmlformats.org/officeDocument/2006/relationships/hyperlink" Target="https://www.newegg.com/Product/Product.aspx?Item=9SIA67S3GU1457&amp;cm_re=WD_red_nas_5tb-_-22-236-738-_-Product" TargetMode="External"/><Relationship Id="rId226" Type="http://schemas.openxmlformats.org/officeDocument/2006/relationships/drawing" Target="../drawings/drawing1.xml"/><Relationship Id="rId107" Type="http://schemas.openxmlformats.org/officeDocument/2006/relationships/hyperlink" Target="https://www.hgst.com/products/hard-drives/ultrastar-7k6000" TargetMode="External"/><Relationship Id="rId11" Type="http://schemas.openxmlformats.org/officeDocument/2006/relationships/hyperlink" Target="https://www.seagate.com/files/www-content/datasheets/pdfs/ex-os-15-e-900-DS1958-1-1709US-en_US.pdf" TargetMode="External"/><Relationship Id="rId32" Type="http://schemas.openxmlformats.org/officeDocument/2006/relationships/hyperlink" Target="http://www.hgst.com/products/hard-drives/ultrastar-he12" TargetMode="External"/><Relationship Id="rId53" Type="http://schemas.openxmlformats.org/officeDocument/2006/relationships/hyperlink" Target="https://www.newegg.com/Product/Product.aspx?Item=22-149-697&amp;utm_medium=Email&amp;utm_source=GD012918&amp;cm_mmc=EMC-GD012918-_-landing-_-Item-_-22-149-697" TargetMode="External"/><Relationship Id="rId74" Type="http://schemas.openxmlformats.org/officeDocument/2006/relationships/hyperlink" Target="https://www.newegg.com/Product/Product.aspx?item=N82E16822179101" TargetMode="External"/><Relationship Id="rId128" Type="http://schemas.openxmlformats.org/officeDocument/2006/relationships/hyperlink" Target="https://www.newegg.com/Product/Product.aspx?Item=N82E16822235011&amp;ignorebbr=1" TargetMode="External"/><Relationship Id="rId149" Type="http://schemas.openxmlformats.org/officeDocument/2006/relationships/hyperlink" Target="https://www.neweggbusiness.com/product/product.aspx?item=9b-22-231-546&amp;tpk=9b22-231-546&amp;cm_mmc=emcb-ignefl121417-_-decwd-_-121417-_-122017&amp;utm_medium=email&amp;utm_source=int-mkt&amp;utm_campaign=decwd_121417&amp;et_cid=40111&amp;et_rid=9494051&amp;et_p1=" TargetMode="External"/><Relationship Id="rId5" Type="http://schemas.openxmlformats.org/officeDocument/2006/relationships/hyperlink" Target="https://www.hgst.com/products/hard-drives/ultrastar-c10k1800" TargetMode="External"/><Relationship Id="rId95" Type="http://schemas.openxmlformats.org/officeDocument/2006/relationships/hyperlink" Target="https://www.newegg.com/Product/ComboBundleDetails.aspx?ItemList=Combo.3844444&amp;utm_medium=Email&amp;utm_source=GD072518&amp;cm_mmc=EMC-GD072518-_-landing-_-Item-_-22-146-118" TargetMode="External"/><Relationship Id="rId160" Type="http://schemas.openxmlformats.org/officeDocument/2006/relationships/hyperlink" Target="http://www.newegg.com/Product/Product.aspx?Item=N82E16822235012&amp;utm_medium=Email&amp;utm_source=IGNEFL010518&amp;cm_mmc=EMC-IGNEFL010518-_-EMC-010518-Index-_-DesktopInternalHardDrives-_-22235012-S1A5B&amp;ignorebbr=1" TargetMode="External"/><Relationship Id="rId181" Type="http://schemas.openxmlformats.org/officeDocument/2006/relationships/hyperlink" Target="https://www.newegg.com/Product/Product.aspx?Item=9SIA5AD6KR4743" TargetMode="External"/><Relationship Id="rId216" Type="http://schemas.openxmlformats.org/officeDocument/2006/relationships/hyperlink" Target="http://storage.toshiba.com/consumer-hdd/internal/l200" TargetMode="External"/><Relationship Id="rId22" Type="http://schemas.openxmlformats.org/officeDocument/2006/relationships/hyperlink" Target="https://www.seagate.com/internal-hard-drives/hdd/ironwolf/" TargetMode="External"/><Relationship Id="rId27" Type="http://schemas.openxmlformats.org/officeDocument/2006/relationships/hyperlink" Target="http://www.hgst.com/sites/default/files/resources/HGST-Helium-Technology-BR03.pdf" TargetMode="External"/><Relationship Id="rId43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48" Type="http://schemas.openxmlformats.org/officeDocument/2006/relationships/hyperlink" Target="https://www.newegg.com/Product/Product.aspx?Item=22-236-339&amp;utm_medium=Email&amp;utm_source=GD110617&amp;cm_mmc=EMC-GD110617-_-landing-_-Item-_-22-236-339" TargetMode="External"/><Relationship Id="rId64" Type="http://schemas.openxmlformats.org/officeDocument/2006/relationships/hyperlink" Target="https://www.amazon.com/HGST-Ultrastar-Enterprise-Internal-Drive/dp/B00GTD3AR2/ref=pd_day0_147_15?_encoding=UTF8&amp;pd_rd_i=B00GTD3AR2&amp;pd_rd_r=1AFF4H5J5MHM5Z596MP7&amp;pd_rd_w=wARcB&amp;pd_rd_wg=NqtSv&amp;psc=1&amp;refRID=1AFF4H5J5MHM5Z596MP7" TargetMode="External"/><Relationship Id="rId69" Type="http://schemas.openxmlformats.org/officeDocument/2006/relationships/hyperlink" Target="https://www.newegg.com/Product/Product.aspx?item=N82E16822236600" TargetMode="External"/><Relationship Id="rId113" Type="http://schemas.openxmlformats.org/officeDocument/2006/relationships/hyperlink" Target="https://www.newegg.com/Product/Product.aspx?Item=N82E16822179107&amp;utm_medium=Email&amp;utm_source=IGNEFL112717&amp;cm_mmc=EMC-IGNEFL112717-_-EMC-112717-Index-_-LaptopInternalHardDrives-_-22179107-S1A1C&amp;ignorebbr=1" TargetMode="External"/><Relationship Id="rId118" Type="http://schemas.openxmlformats.org/officeDocument/2006/relationships/hyperlink" Target="https://smile.amazon.com/Seagate-BarraCuda-3-5-Inch-Internal-ST10000DM0004/dp/B01IA9H22Q/ref=sr_1_cc_9?s=aps&amp;psr=PDAY&amp;ie=UTF8&amp;qid=1531855197&amp;sr=1-9-catcorr&amp;keywords=ironwolf" TargetMode="External"/><Relationship Id="rId134" Type="http://schemas.openxmlformats.org/officeDocument/2006/relationships/hyperlink" Target="https://www.newegg.com/Product/Product.aspx?Item=22-179-129&amp;Tpk=22-179-129" TargetMode="External"/><Relationship Id="rId139" Type="http://schemas.openxmlformats.org/officeDocument/2006/relationships/hyperlink" Target="https://toshiba.semicon-storage.com/us/product/storage-products/enterprise-hdd/al14sebxxex.html" TargetMode="External"/><Relationship Id="rId80" Type="http://schemas.openxmlformats.org/officeDocument/2006/relationships/hyperlink" Target="https://flash.newegg.com/Product/22-179-005?utm_source=NFEmail071918&amp;utm_medium=index&amp;utm_campaign=SaleBanner_B3B_22-179-005&amp;cm_mmc=EMC-NFEmail071918-_-SaleBanner_B3B_22-179-005-_-NA-_-22-179-005" TargetMode="External"/><Relationship Id="rId85" Type="http://schemas.openxmlformats.org/officeDocument/2006/relationships/hyperlink" Target="https://www.newegg.com/Product/Product.aspx?item=N82E16822146067" TargetMode="External"/><Relationship Id="rId150" Type="http://schemas.openxmlformats.org/officeDocument/2006/relationships/hyperlink" Target="https://www.newegg.com/Product/Product.aspx?Item=22-179-130&amp;Tpk=22-179-130" TargetMode="External"/><Relationship Id="rId155" Type="http://schemas.openxmlformats.org/officeDocument/2006/relationships/hyperlink" Target="https://toshiba.semicon-storage.com/us/product/storage-products/enterprise-hdd/al14sxbxxex.html" TargetMode="External"/><Relationship Id="rId171" Type="http://schemas.openxmlformats.org/officeDocument/2006/relationships/hyperlink" Target="https://www.wdc.com/content/dam/wdc/website/downloadable_assets/eng/spec_data_sheet/2879-771437.pdf" TargetMode="External"/><Relationship Id="rId176" Type="http://schemas.openxmlformats.org/officeDocument/2006/relationships/hyperlink" Target="http://www.newegg.com/Product/Product.aspx?Item=N82E16822179110&amp;utm_medium=Email&amp;utm_source=IGNEFL121917&amp;cm_mmc=EMC-IGNEFL121917-_-EMC-121917-Index-_-LaptopInternalHardDrives-_-22179110-S2A3A&amp;ignorebbr=1" TargetMode="External"/><Relationship Id="rId192" Type="http://schemas.openxmlformats.org/officeDocument/2006/relationships/hyperlink" Target="https://www.cdw.com/shop/products/HGST-Ultrastar-7K4000-HUS724030ALS640-hard-drive-3-TB-SAS-6Gb-s/3341368.aspx" TargetMode="External"/><Relationship Id="rId197" Type="http://schemas.openxmlformats.org/officeDocument/2006/relationships/hyperlink" Target="https://www.newegg.com/Product/Product.aspx?Item=N82E16822145620" TargetMode="External"/><Relationship Id="rId206" Type="http://schemas.openxmlformats.org/officeDocument/2006/relationships/hyperlink" Target="https://www.newegg.com/Product/Product.aspx?Item=N82E16822149644" TargetMode="External"/><Relationship Id="rId227" Type="http://schemas.openxmlformats.org/officeDocument/2006/relationships/vmlDrawing" Target="../drawings/vmlDrawing1.vml"/><Relationship Id="rId201" Type="http://schemas.openxmlformats.org/officeDocument/2006/relationships/hyperlink" Target="https://www.newegg.com/Product/Product.aspx?Item=9SIA6CC6KC0450" TargetMode="External"/><Relationship Id="rId222" Type="http://schemas.openxmlformats.org/officeDocument/2006/relationships/hyperlink" Target="https://toshiba.semicon-storage.com/content/dam/toshiba-ss/asia-pacific/docs/product/storage/product-manual/Specialty-MQ03ABBxxx-Product-Overview.pdf" TargetMode="External"/><Relationship Id="rId12" Type="http://schemas.openxmlformats.org/officeDocument/2006/relationships/hyperlink" Target="https://www.seagate.com/files/www-content/datasheets/pdfs/exos-10e2400DS1959-1-1709US-en_US.pdf" TargetMode="External"/><Relationship Id="rId17" Type="http://schemas.openxmlformats.org/officeDocument/2006/relationships/hyperlink" Target="https://www.wdc.com/content/dam/wdc/website/downloadable_assets/eng/spec_data_sheet/2879-800022.pdf" TargetMode="External"/><Relationship Id="rId33" Type="http://schemas.openxmlformats.org/officeDocument/2006/relationships/hyperlink" Target="http://www.hgst.com/products/hard-drives/ultrastar-he10" TargetMode="External"/><Relationship Id="rId38" Type="http://schemas.openxmlformats.org/officeDocument/2006/relationships/hyperlink" Target="https://www.toshiba.eu/Contents/Toshiba_teg/EU/Others/HDD_datasheets/P300_High-Performance_Hard_Drive_Datasheet.pdf" TargetMode="External"/><Relationship Id="rId59" Type="http://schemas.openxmlformats.org/officeDocument/2006/relationships/hyperlink" Target="http://www.tomsitpro.com/articles/hgst-ultrastar-c15k600-hdd,2-906-3.html" TargetMode="External"/><Relationship Id="rId103" Type="http://schemas.openxmlformats.org/officeDocument/2006/relationships/hyperlink" Target="https://www.newegg.com/Product/Product.aspx?Item=N82E16822146148&amp;ignorebbr=1" TargetMode="External"/><Relationship Id="rId108" Type="http://schemas.openxmlformats.org/officeDocument/2006/relationships/hyperlink" Target="https://www.hgst.com/products/hard-drives/ultrastar-7k6000" TargetMode="External"/><Relationship Id="rId124" Type="http://schemas.openxmlformats.org/officeDocument/2006/relationships/hyperlink" Target="https://secure.neweggbusiness.com/new/shopping/shoppingcart.aspx" TargetMode="External"/><Relationship Id="rId129" Type="http://schemas.openxmlformats.org/officeDocument/2006/relationships/hyperlink" Target="https://www.newegg.com/Product/Product.aspx?Item=N82E16822149629&amp;ignorebbr=1" TargetMode="External"/><Relationship Id="rId54" Type="http://schemas.openxmlformats.org/officeDocument/2006/relationships/hyperlink" Target="https://www.newegg.com/Product/Product.aspx?Item=N82E16822145875" TargetMode="External"/><Relationship Id="rId70" Type="http://schemas.openxmlformats.org/officeDocument/2006/relationships/hyperlink" Target="https://www.newegg.com/Product/Product.aspx?item=N82E16822236601" TargetMode="External"/><Relationship Id="rId75" Type="http://schemas.openxmlformats.org/officeDocument/2006/relationships/hyperlink" Target="https://www.newegg.com/Product/Product.aspx?item=N82E16822179102" TargetMode="External"/><Relationship Id="rId91" Type="http://schemas.openxmlformats.org/officeDocument/2006/relationships/hyperlink" Target="https://www.amazon.com/Gold-Enterprise-Class-Hard-Drive/dp/B01AV1697A?SubscriptionId=AKIAILSHYYTFIVPWUY6Q&amp;tag=duckduckgo-ffsb-20&amp;linkCode=xm2&amp;camp=2025&amp;creative=165953&amp;creativeASIN=B01AV1697A&amp;th=1" TargetMode="External"/><Relationship Id="rId96" Type="http://schemas.openxmlformats.org/officeDocument/2006/relationships/hyperlink" Target="https://www.newegg.com/Product/Product.aspx?item=N82E16822178750" TargetMode="External"/><Relationship Id="rId140" Type="http://schemas.openxmlformats.org/officeDocument/2006/relationships/hyperlink" Target="https://toshiba.semicon-storage.com/us/product/storage-products/enterprise-hdd/al14sxbxxex.html" TargetMode="External"/><Relationship Id="rId145" Type="http://schemas.openxmlformats.org/officeDocument/2006/relationships/hyperlink" Target="https://www.newegg.com/Product/Product.aspx?Item=9SIA5EM5NM4192" TargetMode="External"/><Relationship Id="rId161" Type="http://schemas.openxmlformats.org/officeDocument/2006/relationships/hyperlink" Target="https://www.hgst.com/sites/default/files/resources/US7K4000_ds.pdf" TargetMode="External"/><Relationship Id="rId166" Type="http://schemas.openxmlformats.org/officeDocument/2006/relationships/hyperlink" Target="https://smile.amazon.com/Seagate-Drives-Barracuda-3-5-Inch-Internal/dp/B075WYBQXJ/ref=sr_1_2?s=prime-day&amp;psr=PDAY&amp;ie=UTF8&amp;qid=1531854865&amp;sr=1-2&amp;keywords=seagate+ironwolf&amp;smid=ATVPDKIKX0DER&amp;dpID=51eCqVfTTNL&amp;preST=_SY300_QL70_&amp;dpSrc=srch" TargetMode="External"/><Relationship Id="rId182" Type="http://schemas.openxmlformats.org/officeDocument/2006/relationships/hyperlink" Target="https://www.newegg.com/Product/Product.aspx?item=1Z4-002P-00142" TargetMode="External"/><Relationship Id="rId187" Type="http://schemas.openxmlformats.org/officeDocument/2006/relationships/hyperlink" Target="https://www.hgst.com/sites/default/files/resources/US7K4000_ds.pdf" TargetMode="External"/><Relationship Id="rId217" Type="http://schemas.openxmlformats.org/officeDocument/2006/relationships/hyperlink" Target="http://www.toshiba.eu/Contents/Toshiba_teg/EU/Others/HDD_datasheets/X300_High-Performance_Hard_Drive_Datasheet.pdf" TargetMode="External"/><Relationship Id="rId1" Type="http://schemas.openxmlformats.org/officeDocument/2006/relationships/hyperlink" Target="http://www.hgst.com/sites/default/files/resources/Ultrastar-Hs14-DS.pdf" TargetMode="External"/><Relationship Id="rId6" Type="http://schemas.openxmlformats.org/officeDocument/2006/relationships/hyperlink" Target="https://www.hgst.com/products/hard-drives/ultrastar-c15k600" TargetMode="External"/><Relationship Id="rId212" Type="http://schemas.openxmlformats.org/officeDocument/2006/relationships/hyperlink" Target="https://www.newegg.com/Product/Product.aspx?item=N82E16822178941" TargetMode="External"/><Relationship Id="rId23" Type="http://schemas.openxmlformats.org/officeDocument/2006/relationships/hyperlink" Target="https://www.seagate.com/www-content/product-content/constellation-fam/constellation-cs/en-us/docs/terascale-hdd-data-sheet-ds1793-1-1306us.pdf" TargetMode="External"/><Relationship Id="rId28" Type="http://schemas.openxmlformats.org/officeDocument/2006/relationships/hyperlink" Target="http://www.hgst.com/sites/default/files/resources/HGST-Helium-Technology-BR03.pdf" TargetMode="External"/><Relationship Id="rId49" Type="http://schemas.openxmlformats.org/officeDocument/2006/relationships/hyperlink" Target="https://www.newegg.com/Product/Product.aspx?Item=N82E16822236599&amp;utm_medium=Email&amp;utm_source=IGNEFL121417&amp;cm_mmc=EMC-IGNEFL121417-_-EMC-121417-Index-_-DesktopInternalHardDrives-_-22236599-S0E&amp;ignorebbr=1" TargetMode="External"/><Relationship Id="rId114" Type="http://schemas.openxmlformats.org/officeDocument/2006/relationships/hyperlink" Target="https://www.newegg.com/Product/Product.aspx?Item=N82E16822179009&amp;utm_medium=Email&amp;utm_source=IGNEFL112717&amp;cm_mmc=EMC-IGNEFL112717-_-EMC-112717-Index-_-DesktopInternalHardDrives-_-22179009-S1A2D&amp;ignorebbr=1" TargetMode="External"/><Relationship Id="rId119" Type="http://schemas.openxmlformats.org/officeDocument/2006/relationships/hyperlink" Target="https://www.newegg.com/Product/Product.aspx?Item=22-172-024&amp;Tpk=22-172-024" TargetMode="External"/><Relationship Id="rId44" Type="http://schemas.openxmlformats.org/officeDocument/2006/relationships/hyperlink" Target="https://toshiba.semicon-storage.com/us/product/storage-products/enterprise-hdd/al14sxbxxex.html" TargetMode="External"/><Relationship Id="rId60" Type="http://schemas.openxmlformats.org/officeDocument/2006/relationships/hyperlink" Target="http://www.tomsitpro.com/articles/wd-hgst-8tb-hdd-gold,1-3248.html" TargetMode="External"/><Relationship Id="rId65" Type="http://schemas.openxmlformats.org/officeDocument/2006/relationships/hyperlink" Target="https://www.newegg.com/Product/Product.aspx?Item=N82E16822235281&amp;ignorebbr=1" TargetMode="External"/><Relationship Id="rId81" Type="http://schemas.openxmlformats.org/officeDocument/2006/relationships/hyperlink" Target="https://smile.amazon.com/Seagate-IronWolf-Cache-3-5-Inch-Internal/dp/B01LOOJBRI/ref=sr_1_1?s=prime-day&amp;psr=PDAY&amp;ie=UTF8&amp;qid=1531854865&amp;sr=1-1&amp;keywords=seagate+ironwolf&amp;smid=ATVPDKIKX0DER&amp;dpID=511zrEsez3L&amp;preST=_SY300_QL70_&amp;dpSrc=srch" TargetMode="External"/><Relationship Id="rId86" Type="http://schemas.openxmlformats.org/officeDocument/2006/relationships/hyperlink" Target="https://www.newegg.com/Product/Product.aspx?Item=9SIA25V4XG7457&amp;cm_re=Ultrastar_7K6000_5tb-_-9SIA25V4XG7457-_-Product" TargetMode="External"/><Relationship Id="rId130" Type="http://schemas.openxmlformats.org/officeDocument/2006/relationships/hyperlink" Target="https://www.newegg.com/Product/Product.aspx?item=1Z4-002P-00139" TargetMode="External"/><Relationship Id="rId135" Type="http://schemas.openxmlformats.org/officeDocument/2006/relationships/hyperlink" Target="http://www.newegg.com/Product/Product.aspx?Item=N82E16822149407&amp;utm_medium=Email&amp;utm_source=IGNEFL012518&amp;cm_mmc=EMC-IGNEFL012518-_-EMC-012518-Index-_-DesktopInternalHardDrives-_-22149407-S2A1C&amp;ignorebbr=1" TargetMode="External"/><Relationship Id="rId151" Type="http://schemas.openxmlformats.org/officeDocument/2006/relationships/hyperlink" Target="http://www.newegg.com/Product/Product.aspx?Item=N82E16822235065&amp;utm_medium=Email&amp;utm_source=IGNEFL121517&amp;cm_mmc=EMC-IGNEFL121517-_-EMC-121517-Index-_-DesktopInternalHardDrives-_-22235065-S1A3A&amp;ignorebbr=1" TargetMode="External"/><Relationship Id="rId156" Type="http://schemas.openxmlformats.org/officeDocument/2006/relationships/hyperlink" Target="https://www.ebay.com/itm/HGST-Deskstar-7K2000-HDS722020ALA330-2TB-SATA-3-5-Internal-Hard-Drive/201826555832?epid=170151221&amp;hash=item2efdccd7b8:m:mvS_lQfe070JKO8PGvJJ9vw" TargetMode="External"/><Relationship Id="rId177" Type="http://schemas.openxmlformats.org/officeDocument/2006/relationships/hyperlink" Target="https://smile.amazon.com/Seagate-Firecuda-2-5-Inch-Internal-ST1000LX015/dp/B01LWRTRZU/ref=sr_1_cc_8?s=aps&amp;psr=PDAY&amp;ie=UTF8&amp;qid=1531855616&amp;sr=1-8-catcorr&amp;keywords=seagate" TargetMode="External"/><Relationship Id="rId198" Type="http://schemas.openxmlformats.org/officeDocument/2006/relationships/hyperlink" Target="http://optocrypto.com/2017/10/04/western-digital-launches-new-hgst-ultrastar-hs14-14tb-hard-drive/" TargetMode="External"/><Relationship Id="rId172" Type="http://schemas.openxmlformats.org/officeDocument/2006/relationships/hyperlink" Target="https://www.newegg.com/Product/Product.aspx?item=N82E16822236496" TargetMode="External"/><Relationship Id="rId193" Type="http://schemas.openxmlformats.org/officeDocument/2006/relationships/hyperlink" Target="https://www.hgst.com/sites/default/files/resources/Ultrastar-He8-DS.pdf" TargetMode="External"/><Relationship Id="rId202" Type="http://schemas.openxmlformats.org/officeDocument/2006/relationships/hyperlink" Target="https://www.newegg.com/Product/Product.aspx?Item=9SIA5EM5NM4360" TargetMode="External"/><Relationship Id="rId207" Type="http://schemas.openxmlformats.org/officeDocument/2006/relationships/hyperlink" Target="https://www.seagate.com/files/www-content/datasheets/pdfs/exos-7-e8-data-sheet-DS1957-1-1709US-en_US.pdf" TargetMode="External"/><Relationship Id="rId223" Type="http://schemas.openxmlformats.org/officeDocument/2006/relationships/hyperlink" Target="https://www.newegg.com/Product/Product.aspx?Item=9SIA0ZX7U05105&amp;cm_re=toshiba_l200-_-22-149-727-_-Product" TargetMode="External"/><Relationship Id="rId228" Type="http://schemas.openxmlformats.org/officeDocument/2006/relationships/table" Target="../tables/table1.xml"/><Relationship Id="rId13" Type="http://schemas.openxmlformats.org/officeDocument/2006/relationships/hyperlink" Target="https://www.seagate.com/enterprise-storage/enterprise-models/?mod=exos-x10" TargetMode="External"/><Relationship Id="rId18" Type="http://schemas.openxmlformats.org/officeDocument/2006/relationships/hyperlink" Target="https://www.wdc.com/content/dam/wdc/website/downloadable_assets/eng/spec_data_sheet/2879-800002.pdf" TargetMode="External"/><Relationship Id="rId39" Type="http://schemas.openxmlformats.org/officeDocument/2006/relationships/hyperlink" Target="http://products.wdc.com/library/SpecSheet/ENG/2879-771434.pdf" TargetMode="External"/><Relationship Id="rId109" Type="http://schemas.openxmlformats.org/officeDocument/2006/relationships/hyperlink" Target="https://www.hgst.com/sites/default/files/resources/Ultrastar-7K2-EN-US-DS.pdf" TargetMode="External"/><Relationship Id="rId34" Type="http://schemas.openxmlformats.org/officeDocument/2006/relationships/hyperlink" Target="https://www.hgst.com/sites/default/files/resources/T5K100_sp.pdf" TargetMode="External"/><Relationship Id="rId50" Type="http://schemas.openxmlformats.org/officeDocument/2006/relationships/hyperlink" Target="http://www.newegg.com/Product/Product.aspx?Item=N82E16822236344&amp;utm_medium=Email&amp;utm_source=IGNEFL121917&amp;cm_mmc=EMC-IGNEFL121917-_-EMC-121917-Index-_-DesktopInternalHardDrives-_-22236344-S0I&amp;ignorebbr=1" TargetMode="External"/><Relationship Id="rId55" Type="http://schemas.openxmlformats.org/officeDocument/2006/relationships/hyperlink" Target="https://www.newegg.com/Product/Product.aspx?Item=9SIA99462P4004" TargetMode="External"/><Relationship Id="rId76" Type="http://schemas.openxmlformats.org/officeDocument/2006/relationships/hyperlink" Target="https://www.newegg.com/Product/Product.aspx?item=N82E16822178997" TargetMode="External"/><Relationship Id="rId97" Type="http://schemas.openxmlformats.org/officeDocument/2006/relationships/hyperlink" Target="https://www.amazon.com/Seagate-Archive-6GBps-128MB-ST8000AS0002/dp/B00XS423SC/ref=pd_sim_147_30?_encoding=UTF8&amp;psc=1&amp;refRID=FT0YK268QJANC6JV5911" TargetMode="External"/><Relationship Id="rId104" Type="http://schemas.openxmlformats.org/officeDocument/2006/relationships/hyperlink" Target="http://www.newegg.com/Product/Product.aspx?Item=N82E16822235013&amp;utm_medium=Email&amp;utm_source=IGNEFL122417&amp;cm_mmc=EMC-IGNEFL122417-_-EMC-122417-Index-_-DesktopInternalHardDrives-_-22235013-S2A2D&amp;ignorebbr=1" TargetMode="External"/><Relationship Id="rId120" Type="http://schemas.openxmlformats.org/officeDocument/2006/relationships/hyperlink" Target="https://www.seagate.com/www-content/product-content/barracuda-fam/barracuda-new/en-us/docs/100818004c.pdf" TargetMode="External"/><Relationship Id="rId125" Type="http://schemas.openxmlformats.org/officeDocument/2006/relationships/hyperlink" Target="https://smile.amazon.com/Seagate-FireCuda-Gaming-Solid-Hybrid/dp/B01IEKG2HM/ref=sr_1_3?s=prime-day&amp;psr=PDAY&amp;ie=UTF8&amp;qid=1531854865&amp;sr=1-3&amp;keywords=seagate+ironwolf&amp;smid=ATVPDKIKX0DER&amp;dpID=51Q5JsfaKQL&amp;preST=_SY300_QL70_&amp;dpSrc=srch" TargetMode="External"/><Relationship Id="rId141" Type="http://schemas.openxmlformats.org/officeDocument/2006/relationships/hyperlink" Target="https://toshiba.semicon-storage.com/us/product/storage-products/enterprise-hdd/mg06acaxxxx.html" TargetMode="External"/><Relationship Id="rId146" Type="http://schemas.openxmlformats.org/officeDocument/2006/relationships/hyperlink" Target="https://www.newegg.com/Product/Product.aspx?Item=N82E16822178994&amp;ignorebbr=1" TargetMode="External"/><Relationship Id="rId167" Type="http://schemas.openxmlformats.org/officeDocument/2006/relationships/hyperlink" Target="https://www.newegg.com/Product/Product.aspx?Item=N82E16822179104" TargetMode="External"/><Relationship Id="rId188" Type="http://schemas.openxmlformats.org/officeDocument/2006/relationships/hyperlink" Target="https://www.hgst.com/sites/default/files/resources/US7K4000_ds.pdf" TargetMode="External"/><Relationship Id="rId7" Type="http://schemas.openxmlformats.org/officeDocument/2006/relationships/hyperlink" Target="https://www.hgst.com/products/hard-drives/ultrastar-7k6000" TargetMode="External"/><Relationship Id="rId71" Type="http://schemas.openxmlformats.org/officeDocument/2006/relationships/hyperlink" Target="https://www.newegg.com/Product/Product.aspx?Item=22-179-103&amp;utm_medium=Email&amp;utm_source=GD072518&amp;cm_mmc=EMC-GD072518-_-landing-_-Item-_-22-179-103" TargetMode="External"/><Relationship Id="rId92" Type="http://schemas.openxmlformats.org/officeDocument/2006/relationships/hyperlink" Target="http://www.newegg.com/Product/Product.aspx?Item=1Z4-0002-002V0&amp;utm_medium=Email&amp;utm_source=IGNEFL112217&amp;cm_mmc=EMC-IGNEFL112217-_-EMC-112217-Index-_-DesktopInternalHardDrives-_-1Z4-0002-002V0-S1A1D&amp;ignorebbr=1" TargetMode="External"/><Relationship Id="rId162" Type="http://schemas.openxmlformats.org/officeDocument/2006/relationships/hyperlink" Target="https://smile.amazon.com/HGST-Ultrastar-3-5-Inch-Enterprise-0F14683/dp/B007VL8WU6/ref=sr_1_8?s=prime-day&amp;ie=UTF8&amp;qid=1531855963&amp;sr=8-8&amp;keywords=hgst+deskstar" TargetMode="External"/><Relationship Id="rId183" Type="http://schemas.openxmlformats.org/officeDocument/2006/relationships/hyperlink" Target="https://www.seagate.com/files/www-content/datasheets/pdfs/exos-10e2400DS1959-1-1709US-en_US.pdf" TargetMode="External"/><Relationship Id="rId213" Type="http://schemas.openxmlformats.org/officeDocument/2006/relationships/hyperlink" Target="https://www.cdw.com/product/Seagate-Enterprise-Capacity-3.5-HDD-ST8000NM0055-hard-drive-8-TB-SATA/3851249?pfm=srh" TargetMode="External"/><Relationship Id="rId218" Type="http://schemas.openxmlformats.org/officeDocument/2006/relationships/hyperlink" Target="http://www.newegg.com/Product/Product.aspx?Item=N82E16822149698&amp;utm_medium=Email&amp;utm_source=IGNEFL010418&amp;cm_mmc=EMC-IGNEFL010418-_-EMC-010418-Index-_-DesktopInternalHardDrives-_-22149698-S1A5A&amp;ignorebbr=1" TargetMode="External"/><Relationship Id="rId2" Type="http://schemas.openxmlformats.org/officeDocument/2006/relationships/hyperlink" Target="https://www.hgst.com/products/hard-drives/nas-desktop-drive-kit" TargetMode="External"/><Relationship Id="rId29" Type="http://schemas.openxmlformats.org/officeDocument/2006/relationships/hyperlink" Target="http://www.hgst.com/sites/default/files/resources/HGST-Helium-Technology-BR03.pdf" TargetMode="External"/><Relationship Id="rId24" Type="http://schemas.openxmlformats.org/officeDocument/2006/relationships/hyperlink" Target="https://www.seagate.com/internal-hard-drives/hdd/firecuda/" TargetMode="External"/><Relationship Id="rId40" Type="http://schemas.openxmlformats.org/officeDocument/2006/relationships/hyperlink" Target="https://www.wdc.com/content/dam/wdc/website/downloadable_assets/eng/spec_data_sheet/2879-800002.pdf" TargetMode="External"/><Relationship Id="rId45" Type="http://schemas.openxmlformats.org/officeDocument/2006/relationships/hyperlink" Target="https://www.seagate.com/internal-hard-drives/hdd/ironwolf/?sku=ST10000NE0004" TargetMode="External"/><Relationship Id="rId66" Type="http://schemas.openxmlformats.org/officeDocument/2006/relationships/hyperlink" Target="https://www.newegg.com/Product/Product.aspx?item=N82E16822236624" TargetMode="External"/><Relationship Id="rId87" Type="http://schemas.openxmlformats.org/officeDocument/2006/relationships/hyperlink" Target="https://www.newegg.com/Product/Product.aspx?Item=N82E16822235131&amp;cm_re=wd_gold_enterprise-_-22-235-131-_-Product" TargetMode="External"/><Relationship Id="rId110" Type="http://schemas.openxmlformats.org/officeDocument/2006/relationships/hyperlink" Target="https://www.cdw.com/shop/products/HGST-Ultrastar-He8-HUH728080ALE600-hard-drive-8-TB-SATA-6Gb-s/3546681.aspx?pfm=srh" TargetMode="External"/><Relationship Id="rId115" Type="http://schemas.openxmlformats.org/officeDocument/2006/relationships/hyperlink" Target="https://www.cdw.com/shop/products/HGST-Ultrastar-HE12-HUH721212ALE600-hard-drive-12-TB-SATA-6Gb-s/4706469.aspx?pfm=srh" TargetMode="External"/><Relationship Id="rId131" Type="http://schemas.openxmlformats.org/officeDocument/2006/relationships/hyperlink" Target="https://www.newegg.com/Product/Product.aspx?item=1Z4-002P-000N0" TargetMode="External"/><Relationship Id="rId136" Type="http://schemas.openxmlformats.org/officeDocument/2006/relationships/hyperlink" Target="https://www.newegg.com/Product/Product.aspx?item=N82E16822149382" TargetMode="External"/><Relationship Id="rId157" Type="http://schemas.openxmlformats.org/officeDocument/2006/relationships/hyperlink" Target="https://www.ebay.com/itm/Hitachi-Ultrastar-HDD-1-0TB-7200RPM-32MB-SATA2-A7K2000-3-5-Desktop-Hard-Drive/261814211120?hash=item3cf557d230:g:K7kAAOSw34FVBxdH" TargetMode="External"/><Relationship Id="rId178" Type="http://schemas.openxmlformats.org/officeDocument/2006/relationships/hyperlink" Target="https://www.newegg.com/Product/Product.aspx?Item=N82E16822179106" TargetMode="External"/><Relationship Id="rId61" Type="http://schemas.openxmlformats.org/officeDocument/2006/relationships/hyperlink" Target="http://www.tomsitpro.com/articles/wd-hgst-8tb-hdd-gold,1-3248.html" TargetMode="External"/><Relationship Id="rId82" Type="http://schemas.openxmlformats.org/officeDocument/2006/relationships/hyperlink" Target="https://www.newegg.com/Product/Product.aspx?item=N82E16822179008" TargetMode="External"/><Relationship Id="rId152" Type="http://schemas.openxmlformats.org/officeDocument/2006/relationships/hyperlink" Target="https://www.newegg.com/Product/Product.aspx?Item=22-149-631&amp;Tpk=22-149-631" TargetMode="External"/><Relationship Id="rId173" Type="http://schemas.openxmlformats.org/officeDocument/2006/relationships/hyperlink" Target="https://www.newegg.com/Product/Product.aspx?item=1B0-0020-000G1" TargetMode="External"/><Relationship Id="rId194" Type="http://schemas.openxmlformats.org/officeDocument/2006/relationships/hyperlink" Target="https://www.newegg.com/Product/ComboBundleDetails.aspx?ItemList=Combo.3836695&amp;utm_medium=Email&amp;utm_source=IGNEFL062918&amp;cm_mmc=EMC-IGNEFL062918-_-EMC-062918-Index-_-Combo-_-Blitz-Combo3836695-S0&amp;ignorebbr=1" TargetMode="External"/><Relationship Id="rId199" Type="http://schemas.openxmlformats.org/officeDocument/2006/relationships/hyperlink" Target="http://www.sears.com/seagate-st900mp0146-900gb-2.5-sas-15k-rpm/p-SPM8883839723" TargetMode="External"/><Relationship Id="rId203" Type="http://schemas.openxmlformats.org/officeDocument/2006/relationships/hyperlink" Target="https://www.newegg.com/Product/Product.aspx?Item=9SIA67S3GU1425&amp;cm_re=WD_blue_6tb-_-22-235-009-_-Product" TargetMode="External"/><Relationship Id="rId208" Type="http://schemas.openxmlformats.org/officeDocument/2006/relationships/hyperlink" Target="https://www.newegg.com/Product/Product.aspx?item=1Z4-002P-00148" TargetMode="External"/><Relationship Id="rId229" Type="http://schemas.openxmlformats.org/officeDocument/2006/relationships/comments" Target="../comments1.xml"/><Relationship Id="rId19" Type="http://schemas.openxmlformats.org/officeDocument/2006/relationships/hyperlink" Target="https://www.wdc.com/content/dam/wdc/website/downloadable_assets/eng/spec_data_sheet/2879-771436.pdf" TargetMode="External"/><Relationship Id="rId224" Type="http://schemas.openxmlformats.org/officeDocument/2006/relationships/hyperlink" Target="http://www.memory4less.com/10tb-hard-disk-drives?filter=brand:toshiba;&amp;q=10tb-hard-disk-drives&amp;sz=20" TargetMode="External"/><Relationship Id="rId14" Type="http://schemas.openxmlformats.org/officeDocument/2006/relationships/hyperlink" Target="https://www.seagate.com/files/www-content/datasheets/pdfs/exos-x-12-DS1946-1-1709US-en_US.pdf" TargetMode="External"/><Relationship Id="rId30" Type="http://schemas.openxmlformats.org/officeDocument/2006/relationships/hyperlink" Target="http://www.hgst.com/sites/default/files/resources/HGST-Helium-Technology-BR03.pdf" TargetMode="External"/><Relationship Id="rId35" Type="http://schemas.openxmlformats.org/officeDocument/2006/relationships/hyperlink" Target="https://www.hgst.com/sites/default/files/resources/7K100_SATA_FINAL_DS.pdf" TargetMode="External"/><Relationship Id="rId56" Type="http://schemas.openxmlformats.org/officeDocument/2006/relationships/hyperlink" Target="https://www.newegg.com/Product/Product.aspx?Item=9SIA99460Z1529" TargetMode="External"/><Relationship Id="rId77" Type="http://schemas.openxmlformats.org/officeDocument/2006/relationships/hyperlink" Target="https://www.newegg.com/Product/Product.aspx?Item=N82E16822172025&amp;utm_medium=Email&amp;utm_source=EXPRESS112517&amp;cm_mmc=EMC-EXPRESS112517-_-EMC-112517-Index-_-DesktopInternalHardDrives-_-22172025-S1A3A&amp;ignorebbr=1" TargetMode="External"/><Relationship Id="rId100" Type="http://schemas.openxmlformats.org/officeDocument/2006/relationships/hyperlink" Target="https://www.seagate.com/www-content/product-content/hdd-fam/seagate-archive-hdd/en-us/docs/archive-hdd-dS1834-3-1411us.pdf" TargetMode="External"/><Relationship Id="rId105" Type="http://schemas.openxmlformats.org/officeDocument/2006/relationships/hyperlink" Target="http://www.newegg.com/Product/Product.aspx?Item=N82E16822235063&amp;utm_medium=Email&amp;utm_source=IGNEFL121517&amp;cm_mmc=EMC-IGNEFL121517-_-EMC-121517-Index-_-DesktopInternalHardDrives-_-22235063-S1A3B&amp;ignorebbr=1" TargetMode="External"/><Relationship Id="rId126" Type="http://schemas.openxmlformats.org/officeDocument/2006/relationships/hyperlink" Target="https://www.newegg.com/Product/Product.aspx?Item=N82E16822235089&amp;utm_medium=Email&amp;utm_source=EXPRESS122317&amp;cm_mmc=EMC-EXPRESS122317-_-EMC-122317-Index-_-LaptopInternalHardDrives-_-22235089-S0F&amp;ignorebbr=1" TargetMode="External"/><Relationship Id="rId147" Type="http://schemas.openxmlformats.org/officeDocument/2006/relationships/hyperlink" Target="https://www.newegg.com/Product/Product.aspx?Item=1Z4-002P-000N0&amp;ignorebbr=1" TargetMode="External"/><Relationship Id="rId168" Type="http://schemas.openxmlformats.org/officeDocument/2006/relationships/hyperlink" Target="https://www.newegg.com/Product/Product.aspx?Item=N82E16822145584" TargetMode="External"/><Relationship Id="rId8" Type="http://schemas.openxmlformats.org/officeDocument/2006/relationships/hyperlink" Target="http://products.wdc.com/library/SpecSheet/ENG/2879-771434.pdf" TargetMode="External"/><Relationship Id="rId51" Type="http://schemas.openxmlformats.org/officeDocument/2006/relationships/hyperlink" Target="http://www.newegg.com/Product/Product.aspx?Item=N82E16822149695&amp;utm_medium=Email&amp;utm_source=IGNEFL121517&amp;cm_mmc=EMC-IGNEFL121517-_-EMC-121517-Index-_-DesktopInternalHardDrives-_-22149695-S1A3C&amp;ignorebbr=1" TargetMode="External"/><Relationship Id="rId72" Type="http://schemas.openxmlformats.org/officeDocument/2006/relationships/hyperlink" Target="https://www.amazon.com/Seagate-IronWolf-7200RPM-3-5-Inch-ST12000NE0007/dp/B075XNQYV1/ref=sr_1_3?ie=UTF8&amp;qid=1517108286&amp;sr=8-3&amp;keywords=14tb" TargetMode="External"/><Relationship Id="rId93" Type="http://schemas.openxmlformats.org/officeDocument/2006/relationships/hyperlink" Target="https://www.newegg.com/Product/ComboBundleDetails.aspx?ItemList=Combo.3844518&amp;utm_medium=Email&amp;utm_source=GD072518&amp;cm_mmc=EMC-GD072518-_-landing-_-Item-_-1Z4-0002-002U9" TargetMode="External"/><Relationship Id="rId98" Type="http://schemas.openxmlformats.org/officeDocument/2006/relationships/hyperlink" Target="https://www.newegg.com/Product/Product.aspx?item=9SIA4A04NB8762" TargetMode="External"/><Relationship Id="rId121" Type="http://schemas.openxmlformats.org/officeDocument/2006/relationships/hyperlink" Target="https://www.seagate.com/www-content/product-content/barracuda-fam/barracuda-new/en-us/docs/100811076e.pdf" TargetMode="External"/><Relationship Id="rId142" Type="http://schemas.openxmlformats.org/officeDocument/2006/relationships/hyperlink" Target="https://toshiba.semicon-storage.com/us/product/storage-products/enterprise-hdd/mg07acaxxx.html" TargetMode="External"/><Relationship Id="rId163" Type="http://schemas.openxmlformats.org/officeDocument/2006/relationships/hyperlink" Target="https://www.newegg.com/Product/Product.aspx?Item=9SIA5AD5WA7762&amp;utm_medium=Email&amp;utm_source=IGNEFL010418&amp;cm_mmc=EMC-IGNEFL010418-_-EMC-010418-Index-_-DesktopInternalHardDrives-_-9SIA5AD5WA7762-S1A6B&amp;ignorebbr=1" TargetMode="External"/><Relationship Id="rId184" Type="http://schemas.openxmlformats.org/officeDocument/2006/relationships/hyperlink" Target="https://www.newegg.com/Product/Product.aspx?Item=9SIAAEE6NW9609" TargetMode="External"/><Relationship Id="rId189" Type="http://schemas.openxmlformats.org/officeDocument/2006/relationships/hyperlink" Target="https://www.newegg.com/Product/Product.aspx?Item=N82E16822178995&amp;utm_medium=Email&amp;utm_source=IGNEFL011618C&amp;cm_mmc=EMC-IGNEFL011618C-_-EMC-011618-Latest-_-DesktopInternalHardDrives-_-22178995-S1A1C&amp;ignorebbr=1" TargetMode="External"/><Relationship Id="rId219" Type="http://schemas.openxmlformats.org/officeDocument/2006/relationships/hyperlink" Target="https://www.newegg.com/Product/Product.aspx?Item=9SIA5EM5NM4142" TargetMode="External"/><Relationship Id="rId3" Type="http://schemas.openxmlformats.org/officeDocument/2006/relationships/hyperlink" Target="https://www.hgst.com/products/hard-drives/nas-desktop-drive-kit" TargetMode="External"/><Relationship Id="rId214" Type="http://schemas.openxmlformats.org/officeDocument/2006/relationships/hyperlink" Target="https://www.newegg.com/Product/Product.aspx?Item=1Z4-000B-001U4&amp;cm_re=2.5%22_toshiba-_-1Z4-000B-001U4-_-Product" TargetMode="External"/><Relationship Id="rId25" Type="http://schemas.openxmlformats.org/officeDocument/2006/relationships/hyperlink" Target="http://hdd.userbenchmark.com/" TargetMode="External"/><Relationship Id="rId46" Type="http://schemas.openxmlformats.org/officeDocument/2006/relationships/hyperlink" Target="https://www.seagate.com/internal-hard-drives/hdd/ironwolf/?sku=ST10000NE0004" TargetMode="External"/><Relationship Id="rId67" Type="http://schemas.openxmlformats.org/officeDocument/2006/relationships/hyperlink" Target="http://www.newegg.com/Product/Product.aspx?Item=N82E16822236625&amp;utm_medium=Email&amp;utm_source=IGNEFL121417&amp;cm_mmc=EMC-IGNEFL121417-_-EMC-121417-Index-_-DesktopInternalHardDrives-_-22236625-S1A1D&amp;ignorebbr=1" TargetMode="External"/><Relationship Id="rId116" Type="http://schemas.openxmlformats.org/officeDocument/2006/relationships/hyperlink" Target="https://smile.amazon.com/Seagate-BarraCuda-256MB-3-5-Inch-Internal/dp/B01LOOJBH8/ref=sr_1_6?s=prime-day&amp;psr=PDAY&amp;ie=UTF8&amp;qid=1531855616&amp;sr=1-6&amp;keywords=seagate&amp;smid=ATVPDKIKX0DER" TargetMode="External"/><Relationship Id="rId137" Type="http://schemas.openxmlformats.org/officeDocument/2006/relationships/hyperlink" Target="https://www.newegg.com/Product/Product.aspx?item=N82E16822149408" TargetMode="External"/><Relationship Id="rId158" Type="http://schemas.openxmlformats.org/officeDocument/2006/relationships/hyperlink" Target="https://www.newegg.com/Product/Product.aspx?Item=22-179-009&amp;utm_medium=Email&amp;utm_source=GD010318&amp;cm_mmc=EMC-GD010318-_-landing-_-Item-_-22-179-009" TargetMode="External"/><Relationship Id="rId20" Type="http://schemas.openxmlformats.org/officeDocument/2006/relationships/hyperlink" Target="http://products.wdc.com/library/SpecSheet/ENG/2879-800045.pdf" TargetMode="External"/><Relationship Id="rId41" Type="http://schemas.openxmlformats.org/officeDocument/2006/relationships/hyperlink" Target="https://toshiba.semicon-storage.com/us/product/storage-products/enterprise-hdd/mg06acaxxxx.html" TargetMode="External"/><Relationship Id="rId62" Type="http://schemas.openxmlformats.org/officeDocument/2006/relationships/hyperlink" Target="https://www.hgst.com/sites/default/files/resources/UltrastarHa10-SAS-OEMSpec-r2.1.pdf" TargetMode="External"/><Relationship Id="rId83" Type="http://schemas.openxmlformats.org/officeDocument/2006/relationships/hyperlink" Target="https://www.newegg.com/Product/Product.aspx?item=N82E16822146076" TargetMode="External"/><Relationship Id="rId88" Type="http://schemas.openxmlformats.org/officeDocument/2006/relationships/hyperlink" Target="https://www.newegg.com/Product/Product.aspx?item=N82E16822232560" TargetMode="External"/><Relationship Id="rId111" Type="http://schemas.openxmlformats.org/officeDocument/2006/relationships/hyperlink" Target="https://www.newegg.com/Product/Product.aspx?Item=9SIA9945X11461&amp;cm_re=ultrastar_he12-_-9SIA9945X11461-_-Product" TargetMode="External"/><Relationship Id="rId132" Type="http://schemas.openxmlformats.org/officeDocument/2006/relationships/hyperlink" Target="https://www.newegg.com/Product/Product.aspx?item=1Z4-002P-00141" TargetMode="External"/><Relationship Id="rId153" Type="http://schemas.openxmlformats.org/officeDocument/2006/relationships/hyperlink" Target="https://www.newegg.com/Product/Product.aspx?Item=22-149-632&amp;Tpk=22-149-632" TargetMode="External"/><Relationship Id="rId174" Type="http://schemas.openxmlformats.org/officeDocument/2006/relationships/hyperlink" Target="https://www.newegg.com/Product/Product.aspx?Item=N82E16822179108" TargetMode="External"/><Relationship Id="rId179" Type="http://schemas.openxmlformats.org/officeDocument/2006/relationships/hyperlink" Target="https://www.newegg.com/Product/Product.aspx?Item=9SIA5AD6KR4743" TargetMode="External"/><Relationship Id="rId195" Type="http://schemas.openxmlformats.org/officeDocument/2006/relationships/hyperlink" Target="https://www.newegg.com/Product/Product.aspx?item=N82E16822231547" TargetMode="External"/><Relationship Id="rId209" Type="http://schemas.openxmlformats.org/officeDocument/2006/relationships/hyperlink" Target="https://www.newegg.com/Product/Product.aspx?item=9SIA2F86R49684" TargetMode="External"/><Relationship Id="rId190" Type="http://schemas.openxmlformats.org/officeDocument/2006/relationships/hyperlink" Target="https://www.newegg.com/Product/Product.aspx?Item=9SIA5EM6HG5028&amp;cm_re=segate_2.5%22_disk_drive-_-1B4-00VK-00017-_-Product" TargetMode="External"/><Relationship Id="rId204" Type="http://schemas.openxmlformats.org/officeDocument/2006/relationships/hyperlink" Target="https://www.newegg.com/Product/Product.aspx?Item=9SIAAEE6P41222&amp;cm_re=wd_pro_3tb-_-22-236-740-_-Product" TargetMode="External"/><Relationship Id="rId220" Type="http://schemas.openxmlformats.org/officeDocument/2006/relationships/hyperlink" Target="https://www.ebay.com/itm/NEW-SEAGATE-NAS-HDD-8TB-7200RPM-ST8000NC0002-SATA-WD-RED-IRONWOLF-PRO-TERASCALE/292239419204?epid=2110441349&amp;hash=item440ad3a744:g:hgoAAOSw81dZrN2K" TargetMode="External"/><Relationship Id="rId225" Type="http://schemas.openxmlformats.org/officeDocument/2006/relationships/printerSettings" Target="../printerSettings/printerSettings1.bin"/><Relationship Id="rId15" Type="http://schemas.openxmlformats.org/officeDocument/2006/relationships/hyperlink" Target="https://www.seagate.com/enterprise-storage/exos-drives/exos-e-drives/" TargetMode="External"/><Relationship Id="rId36" Type="http://schemas.openxmlformats.org/officeDocument/2006/relationships/hyperlink" Target="https://www.toshiba-storage.com/products/n300/?pdf" TargetMode="External"/><Relationship Id="rId57" Type="http://schemas.openxmlformats.org/officeDocument/2006/relationships/hyperlink" Target="https://www.newegg.com/Product/Product.aspx?Item=9SIA75M5XX1494" TargetMode="External"/><Relationship Id="rId106" Type="http://schemas.openxmlformats.org/officeDocument/2006/relationships/hyperlink" Target="https://www.newegg.com/Product/Product.aspx?Item=22-236-737&amp;utm_medium=Email&amp;utm_source=GD012918&amp;cm_mmc=EMC-GD012918-_-landing-_-Item-_-22-236-737" TargetMode="External"/><Relationship Id="rId127" Type="http://schemas.openxmlformats.org/officeDocument/2006/relationships/hyperlink" Target="https://www.newegg.com/Product/ComboBundleDetails.aspx?ItemList=Combo.3842359&amp;utm_medium=Email&amp;utm_source=IGNEFL071218&amp;cm_mmc=EMC-IGNEFL071218-_-EMC-071218-Index-_-Combo-_-Combo3842359-S1A1A&amp;ignorebbr=1" TargetMode="External"/><Relationship Id="rId10" Type="http://schemas.openxmlformats.org/officeDocument/2006/relationships/hyperlink" Target="https://www.seagate.com/files/www-content/datasheets/pdfs/exos-7-e8-data-sheet-DS1957-1-1709US-en_US.pdf" TargetMode="External"/><Relationship Id="rId31" Type="http://schemas.openxmlformats.org/officeDocument/2006/relationships/hyperlink" Target="http://www.hgst.com/sites/default/files/resources/HGST-Helium-Technology-BR03.pdf" TargetMode="External"/><Relationship Id="rId52" Type="http://schemas.openxmlformats.org/officeDocument/2006/relationships/hyperlink" Target="https://www.newegg.com/Product/Product.aspx?item=N82E16822149696" TargetMode="External"/><Relationship Id="rId73" Type="http://schemas.openxmlformats.org/officeDocument/2006/relationships/hyperlink" Target="https://smile.amazon.com/Seagate-IronWolf-7200RPM-256MB-3-5-Inch/dp/B07BDVBP1H/ref=sr_1_9?s=prime-day&amp;psr=PDAY&amp;ie=UTF8&amp;qid=1531855616&amp;sr=1-9&amp;keywords=seagate&amp;smid=ATVPDKIKX0DER" TargetMode="External"/><Relationship Id="rId78" Type="http://schemas.openxmlformats.org/officeDocument/2006/relationships/hyperlink" Target="https://smile.amazon.com/Seagate-IronWolf-3-5-Inch-Internal-ST8000VN0022/dp/B01M1BUBSO/ref=sr_1_cc_1?s=aps&amp;psr=PDAY&amp;ie=UTF8&amp;qid=1531855197&amp;sr=1-1-catcorr&amp;keywords=ironwolf" TargetMode="External"/><Relationship Id="rId94" Type="http://schemas.openxmlformats.org/officeDocument/2006/relationships/hyperlink" Target="https://smile.amazon.com/Seagate-BarraCuda-Cache-Desktop-ST2000DM006/dp/B01IEKG402/ref=sr_1_cc_2?s=aps&amp;psr=PDAY&amp;ie=UTF8&amp;qid=1531855616&amp;sr=1-2-catcorr&amp;keywords=seagate" TargetMode="External"/><Relationship Id="rId99" Type="http://schemas.openxmlformats.org/officeDocument/2006/relationships/hyperlink" Target="https://www.seagate.com/www-content/product-content/hdd-fam/seagate-archive-hdd/en-us/docs/archive-hdd-dS1834-3-1411us.pdf" TargetMode="External"/><Relationship Id="rId101" Type="http://schemas.openxmlformats.org/officeDocument/2006/relationships/hyperlink" Target="https://www.seagate.com/www-content/product-content/hdd-fam/seagate-archive-hdd/en-us/docs/archive-hdd-dS1834-3-1411us.pdf" TargetMode="External"/><Relationship Id="rId122" Type="http://schemas.openxmlformats.org/officeDocument/2006/relationships/hyperlink" Target="http://www.newegg.com/Product/Product.aspx?Item=N82E16822179010&amp;utm_medium=Email&amp;utm_source=IGNEFL113017&amp;cm_mmc=EMC-IGNEFL113017-_-EMC-113017-Index-_-DesktopInternalHardDrives-_-22179010-S2A1B&amp;ignorebbr=1" TargetMode="External"/><Relationship Id="rId143" Type="http://schemas.openxmlformats.org/officeDocument/2006/relationships/hyperlink" Target="https://toshiba.semicon-storage.com/us/product/storage-products/enterprise-hdd/mg07acaxxx.html" TargetMode="External"/><Relationship Id="rId148" Type="http://schemas.openxmlformats.org/officeDocument/2006/relationships/hyperlink" Target="https://www.newegg.com/Product/Product.aspx?Item=9SIA4M56WV0609&amp;cm_re=seagate_x12-_-9SIA4M56WV0609-_-Product" TargetMode="External"/><Relationship Id="rId164" Type="http://schemas.openxmlformats.org/officeDocument/2006/relationships/hyperlink" Target="https://www.seagate.com/www-content/product-content/constellation-fam/constellation-es/constellation-es-3/_shared/docs/constellation-es-3-ds1769-3-1502us.pdf" TargetMode="External"/><Relationship Id="rId169" Type="http://schemas.openxmlformats.org/officeDocument/2006/relationships/hyperlink" Target="https://www.newegg.com/Product/Product.aspx?Item=9SIA99460Z2669" TargetMode="External"/><Relationship Id="rId185" Type="http://schemas.openxmlformats.org/officeDocument/2006/relationships/hyperlink" Target="https://www.newegg.com/Product/Product.aspx?Item=N82E16822149667&amp;cm_re=2.5%22_toshiba-_-22-149-667-_-Product" TargetMode="External"/><Relationship Id="rId4" Type="http://schemas.openxmlformats.org/officeDocument/2006/relationships/hyperlink" Target="https://www.hgst.com/products/hard-drives/ultrastar-c10k1800" TargetMode="External"/><Relationship Id="rId9" Type="http://schemas.openxmlformats.org/officeDocument/2006/relationships/hyperlink" Target="https://www.seagate.com/internal-hard-drives/hdd/barracuda/" TargetMode="External"/><Relationship Id="rId180" Type="http://schemas.openxmlformats.org/officeDocument/2006/relationships/hyperlink" Target="https://www.newegg.com/Product/Product.aspx?Item=9SIAAEE6CZ1509" TargetMode="External"/><Relationship Id="rId210" Type="http://schemas.openxmlformats.org/officeDocument/2006/relationships/hyperlink" Target="https://www.newegg.com/Product/Product.aspx?Item=9SIA24G1S88436&amp;cm_re=terascale-_-22-178-401-_-Product" TargetMode="External"/><Relationship Id="rId215" Type="http://schemas.openxmlformats.org/officeDocument/2006/relationships/hyperlink" Target="https://www.toshiba-storage.com/products/n300/?pdf" TargetMode="External"/><Relationship Id="rId26" Type="http://schemas.openxmlformats.org/officeDocument/2006/relationships/hyperlink" Target="http://www.hgst.com/sites/default/files/resources/HGST-Helium-Technology-BR03.pdf" TargetMode="External"/><Relationship Id="rId47" Type="http://schemas.openxmlformats.org/officeDocument/2006/relationships/hyperlink" Target="https://www.newegg.com/Product/Product.aspx?Item=9SIA5AD5YN7412&amp;utm_medium=Email&amp;utm_source=GD110617&amp;cm_mmc=EMC-GD110617-_-landing-_-Item-_-9SIA5AD5YN7412" TargetMode="External"/><Relationship Id="rId68" Type="http://schemas.openxmlformats.org/officeDocument/2006/relationships/hyperlink" Target="https://www.newegg.com/Product/Product.aspx?item=N82E16822235128" TargetMode="External"/><Relationship Id="rId89" Type="http://schemas.openxmlformats.org/officeDocument/2006/relationships/hyperlink" Target="https://flash.newegg.com/Product/22-235-058?utm_source=NFEmail080318&amp;utm_medium=index&amp;utm_campaign=SaleBanner_B3C_22-235-058&amp;cm_mmc=EMC-NFEmail080318-_-SaleBanner_B3C_22-235-058-_-NA-_-22-235-058" TargetMode="External"/><Relationship Id="rId112" Type="http://schemas.openxmlformats.org/officeDocument/2006/relationships/hyperlink" Target="https://www.newegg.com/Product/Product.aspx?Item=N82E16822146142&amp;cm_mmc=EMC-IGNEFL072018-_-EMC-072018-Index-_-DesktopInternalHardDrives-_-22146142-S1A2D&amp;ignorebbr=1" TargetMode="External"/><Relationship Id="rId133" Type="http://schemas.openxmlformats.org/officeDocument/2006/relationships/hyperlink" Target="https://www.newegg.com/Product/Product.aspx?item=1Z4-002P-00138" TargetMode="External"/><Relationship Id="rId154" Type="http://schemas.openxmlformats.org/officeDocument/2006/relationships/hyperlink" Target="https://www.newegg.com/Product/Product.aspx?Item=22-149-633&amp;Tpk=22-149-633" TargetMode="External"/><Relationship Id="rId175" Type="http://schemas.openxmlformats.org/officeDocument/2006/relationships/hyperlink" Target="https://www.seagate.com/internal-hard-drives/hdd/firecuda/" TargetMode="External"/><Relationship Id="rId196" Type="http://schemas.openxmlformats.org/officeDocument/2006/relationships/hyperlink" Target="https://www.newegg.com/Product/Product.aspx?item=N82E16822235064" TargetMode="External"/><Relationship Id="rId200" Type="http://schemas.openxmlformats.org/officeDocument/2006/relationships/hyperlink" Target="https://www.ebay.com/itm/NEW-HGST-HDD-6TB-SAS-12GB-S-ULTRASTAR-7K6000-0F22919-0F22810-WD-WDC-GOLD-RE-0F/292311517557?epid=595133558&amp;hash=item440f1fc975:g:XiEAAOSw-olZ9tZu" TargetMode="External"/><Relationship Id="rId16" Type="http://schemas.openxmlformats.org/officeDocument/2006/relationships/hyperlink" Target="https://www.wdc.com/content/dam/wdc/website/downloadable_assets/eng/spec_data_sheet/2879-800074.pdf" TargetMode="External"/><Relationship Id="rId221" Type="http://schemas.openxmlformats.org/officeDocument/2006/relationships/hyperlink" Target="https://www.newegg.com/Product/Product.aspx?Item=9SIA0ZX7WE5979&amp;cm_re=toshiba_x300-_-22-149-728-_-Product" TargetMode="External"/><Relationship Id="rId37" Type="http://schemas.openxmlformats.org/officeDocument/2006/relationships/hyperlink" Target="http://www.toshiba.eu/Contents/Toshiba_teg/EU/Others/HDD_datasheets/X300_High-Performance_Hard_Drive_Datasheet.pdf" TargetMode="External"/><Relationship Id="rId58" Type="http://schemas.openxmlformats.org/officeDocument/2006/relationships/hyperlink" Target="https://www.newegg.com/Product/Product.aspx?item=N82E16822179007" TargetMode="External"/><Relationship Id="rId79" Type="http://schemas.openxmlformats.org/officeDocument/2006/relationships/hyperlink" Target="https://smile.amazon.com/Seagate-IronWolf-3-5-Inch-Internal-ST6000VN0041/dp/B01LZDFMWQ/ref=sr_1_cc_2?s=aps&amp;psr=PDAY&amp;ie=UTF8&amp;qid=1531855197&amp;sr=1-2-catcorr&amp;keywords=ironwolf" TargetMode="External"/><Relationship Id="rId102" Type="http://schemas.openxmlformats.org/officeDocument/2006/relationships/hyperlink" Target="http://www.hgst.com/sites/default/files/resources/UltrastarHs14-SATA-OEMSpec-R1.0.pdf" TargetMode="External"/><Relationship Id="rId123" Type="http://schemas.openxmlformats.org/officeDocument/2006/relationships/hyperlink" Target="http://www.newegg.com/Product/Product.aspx?Item=N82E16822235120&amp;utm_medium=Email&amp;utm_source=IGNEFL120117&amp;cm_mmc=EMC-IGNEFL120117-_-EMC-120117-Index-_-DesktopInternalHardDrives-_-22235120-S1A1B&amp;ignorebbr=1" TargetMode="External"/><Relationship Id="rId144" Type="http://schemas.openxmlformats.org/officeDocument/2006/relationships/hyperlink" Target="https://toshiba.semicon-storage.com/us/product/storage-products/enterprise-hdd/mg07acaxxx.html" TargetMode="External"/><Relationship Id="rId90" Type="http://schemas.openxmlformats.org/officeDocument/2006/relationships/hyperlink" Target="https://www.newegg.com/Product/Product.aspx?Item=N82E16822235058&amp;utm_medium=Email&amp;utm_source=IGNEFL072418&amp;cm_mmc=EMC-IGNEFL072418-_-EMC-072418-Index-_-DesktopInternalHardDrives-_-22235058-S3A1B&amp;ignorebbr=1" TargetMode="External"/><Relationship Id="rId165" Type="http://schemas.openxmlformats.org/officeDocument/2006/relationships/hyperlink" Target="https://en.wikipedia.org/wiki/Decibel" TargetMode="External"/><Relationship Id="rId186" Type="http://schemas.openxmlformats.org/officeDocument/2006/relationships/hyperlink" Target="http://storage.toshiba.com/consumer-hdd/internal/l200" TargetMode="External"/><Relationship Id="rId211" Type="http://schemas.openxmlformats.org/officeDocument/2006/relationships/hyperlink" Target="https://www.newegg.com/Product/Product.aspx?Item=2RC-00D4-000H4&amp;ignorebbr=1&amp;cm_re=ultrastar_7k6000-_-2RC-00D4-000H4-_-Product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181"/>
  <sheetViews>
    <sheetView tabSelected="1" zoomScale="96" zoomScaleNormal="96" workbookViewId="0">
      <pane ySplit="2" topLeftCell="A24" activePane="bottomLeft" state="frozen"/>
      <selection pane="bottomLeft" activeCell="A32" sqref="A32"/>
    </sheetView>
  </sheetViews>
  <sheetFormatPr defaultRowHeight="15" x14ac:dyDescent="0.25"/>
  <cols>
    <col min="1" max="1" width="10.85546875" bestFit="1" customWidth="1"/>
    <col min="2" max="2" width="8.28515625" customWidth="1"/>
    <col min="3" max="3" width="20.7109375" bestFit="1" customWidth="1"/>
    <col min="4" max="5" width="7.5703125" customWidth="1"/>
    <col min="6" max="6" width="7.140625" style="4" customWidth="1"/>
    <col min="7" max="7" width="8.140625" customWidth="1"/>
    <col min="8" max="9" width="7.85546875" customWidth="1"/>
    <col min="11" max="11" width="10.85546875" customWidth="1"/>
    <col min="12" max="12" width="8.85546875" customWidth="1"/>
    <col min="13" max="13" width="8.140625" customWidth="1"/>
    <col min="14" max="14" width="9.28515625" customWidth="1"/>
    <col min="15" max="18" width="9.7109375" customWidth="1"/>
    <col min="19" max="19" width="11.28515625" customWidth="1"/>
    <col min="20" max="20" width="8.85546875" customWidth="1"/>
    <col min="21" max="21" width="10.140625" customWidth="1"/>
    <col min="22" max="22" width="8.85546875" customWidth="1"/>
    <col min="23" max="24" width="10.42578125" customWidth="1"/>
    <col min="25" max="25" width="9" bestFit="1" customWidth="1"/>
    <col min="26" max="26" width="10.42578125" style="3" customWidth="1"/>
    <col min="27" max="30" width="9.42578125" style="3" customWidth="1"/>
    <col min="31" max="32" width="26.42578125" customWidth="1"/>
  </cols>
  <sheetData>
    <row r="1" spans="1:31" ht="15.75" thickBot="1" x14ac:dyDescent="0.3">
      <c r="A1" s="216" t="s">
        <v>88</v>
      </c>
      <c r="B1" s="217"/>
      <c r="C1" s="217"/>
      <c r="D1" s="217"/>
      <c r="E1" s="217"/>
      <c r="F1" s="218"/>
      <c r="G1" s="213" t="s">
        <v>67</v>
      </c>
      <c r="H1" s="214"/>
      <c r="I1" s="214"/>
      <c r="J1" s="214"/>
      <c r="K1" s="215"/>
      <c r="L1" s="205" t="s">
        <v>115</v>
      </c>
      <c r="M1" s="206"/>
      <c r="N1" s="206"/>
      <c r="O1" s="206"/>
      <c r="P1" s="207"/>
      <c r="Q1" s="208" t="s">
        <v>69</v>
      </c>
      <c r="R1" s="209"/>
      <c r="S1" s="209"/>
      <c r="T1" s="209"/>
      <c r="U1" s="210"/>
      <c r="V1" s="210"/>
      <c r="W1" s="203" t="s">
        <v>133</v>
      </c>
      <c r="X1" s="204"/>
      <c r="Y1" s="219" t="s">
        <v>36</v>
      </c>
      <c r="Z1" s="220"/>
      <c r="AA1" s="220"/>
      <c r="AB1" s="221"/>
      <c r="AC1" s="195" t="s">
        <v>154</v>
      </c>
      <c r="AD1" s="196"/>
      <c r="AE1" s="34"/>
    </row>
    <row r="2" spans="1:31" s="2" customFormat="1" ht="15.75" thickBot="1" x14ac:dyDescent="0.3">
      <c r="A2" s="8" t="s">
        <v>0</v>
      </c>
      <c r="B2" s="8" t="s">
        <v>1</v>
      </c>
      <c r="C2" s="8" t="s">
        <v>4</v>
      </c>
      <c r="D2" s="30" t="s">
        <v>48</v>
      </c>
      <c r="E2" s="9" t="s">
        <v>85</v>
      </c>
      <c r="F2" s="9" t="s">
        <v>26</v>
      </c>
      <c r="G2" s="59" t="s">
        <v>7</v>
      </c>
      <c r="H2" s="9" t="s">
        <v>64</v>
      </c>
      <c r="I2" s="9" t="s">
        <v>66</v>
      </c>
      <c r="J2" s="31" t="s">
        <v>63</v>
      </c>
      <c r="K2" s="60" t="s">
        <v>62</v>
      </c>
      <c r="L2" s="31" t="s">
        <v>156</v>
      </c>
      <c r="M2" s="20" t="s">
        <v>61</v>
      </c>
      <c r="N2" s="20" t="s">
        <v>60</v>
      </c>
      <c r="O2" s="20" t="s">
        <v>58</v>
      </c>
      <c r="P2" s="30" t="s">
        <v>59</v>
      </c>
      <c r="Q2" s="32" t="s">
        <v>35</v>
      </c>
      <c r="R2" s="20" t="s">
        <v>8</v>
      </c>
      <c r="S2" s="20" t="s">
        <v>9</v>
      </c>
      <c r="T2" s="30" t="s">
        <v>30</v>
      </c>
      <c r="U2" s="31" t="s">
        <v>21</v>
      </c>
      <c r="V2" s="30" t="s">
        <v>46</v>
      </c>
      <c r="W2" s="115" t="s">
        <v>2</v>
      </c>
      <c r="X2" s="33" t="s">
        <v>3</v>
      </c>
      <c r="Y2" s="32" t="s">
        <v>32</v>
      </c>
      <c r="Z2" s="20" t="s">
        <v>47</v>
      </c>
      <c r="AA2" s="30" t="s">
        <v>20</v>
      </c>
      <c r="AB2" s="9" t="s">
        <v>157</v>
      </c>
      <c r="AC2" s="154" t="s">
        <v>144</v>
      </c>
      <c r="AD2" s="155" t="s">
        <v>145</v>
      </c>
      <c r="AE2" s="148" t="s">
        <v>40</v>
      </c>
    </row>
    <row r="3" spans="1:31" ht="15.75" thickTop="1" x14ac:dyDescent="0.25">
      <c r="A3" s="1">
        <v>43320</v>
      </c>
      <c r="B3" t="s">
        <v>15</v>
      </c>
      <c r="C3" s="96" t="s">
        <v>16</v>
      </c>
      <c r="D3" s="27" t="s">
        <v>49</v>
      </c>
      <c r="E3" s="81">
        <v>3.5</v>
      </c>
      <c r="F3" s="69">
        <v>4</v>
      </c>
      <c r="G3" s="41">
        <v>7200</v>
      </c>
      <c r="H3" s="5"/>
      <c r="I3" s="5">
        <v>11.99</v>
      </c>
      <c r="J3" s="61">
        <f>(Table5[[#This Row],[RPM]]/5400-1)</f>
        <v>0.33333333333333326</v>
      </c>
      <c r="K3" s="44">
        <v>202</v>
      </c>
      <c r="L3">
        <v>3</v>
      </c>
      <c r="M3" s="36">
        <v>600000</v>
      </c>
      <c r="O3" s="36">
        <v>1000000</v>
      </c>
      <c r="P3" s="35">
        <f t="shared" ref="P3:P6" si="0">10^14</f>
        <v>100000000000000</v>
      </c>
      <c r="Q3" s="53">
        <f t="shared" ref="Q3:Q6" si="1">1.2*5+2*12</f>
        <v>30</v>
      </c>
      <c r="R3" s="5"/>
      <c r="S3" s="5">
        <v>7.3</v>
      </c>
      <c r="T3" s="108"/>
      <c r="U3" s="111" t="str">
        <f>""</f>
        <v/>
      </c>
      <c r="V3" s="111" t="str">
        <f>""</f>
        <v/>
      </c>
      <c r="W3" s="117">
        <v>99.99</v>
      </c>
      <c r="X3" s="6">
        <f>IF(Table5[[#This Row],[Cost]],Table5[[#This Row],[Cost]]/Table5[[#This Row],[SizTB]]*Exchange_Rate,"")</f>
        <v>24.997499999999999</v>
      </c>
      <c r="Y3" s="145">
        <f>Table5[[#This Row],[Cost]]+((CompareWarrYrs-Table5[[#This Row],[Warranty]])*(Incremental_Warr_Yr*Table5[[#This Row],[Cost]]))*Exchange_Rate</f>
        <v>121.98779999999999</v>
      </c>
      <c r="Z3" s="6">
        <f>IF(Table5[[#This Row],[$+Warr]],Table5[[#This Row],[$+Warr]]/Table5[[#This Row],[SizTB]],"")</f>
        <v>30.496949999999998</v>
      </c>
      <c r="AA3" s="6">
        <f>IFERROR(Table5[[#This Row],[$PerTB]]/CompareWarrYrs,"")</f>
        <v>6.0993899999999996</v>
      </c>
      <c r="AB3" s="6" t="str">
        <f>IF(OR(Table5[[#This Row],[$ TB/year]]="",Table5[[#This Row],[Energy$yearPerTB]]=""),"",Table5[[#This Row],[$ TB/year]]+Table5[[#This Row],[Energy$yearPerTB]])</f>
        <v/>
      </c>
      <c r="AC3" s="173">
        <v>29</v>
      </c>
      <c r="AD3" s="157"/>
      <c r="AE3" s="158" t="s">
        <v>124</v>
      </c>
    </row>
    <row r="4" spans="1:31" x14ac:dyDescent="0.25">
      <c r="A4" s="1">
        <v>43321</v>
      </c>
      <c r="B4" t="s">
        <v>15</v>
      </c>
      <c r="C4" s="96" t="s">
        <v>16</v>
      </c>
      <c r="D4" s="27" t="s">
        <v>49</v>
      </c>
      <c r="E4" s="81">
        <v>3.5</v>
      </c>
      <c r="F4" s="69">
        <v>6</v>
      </c>
      <c r="G4" s="42">
        <v>7200</v>
      </c>
      <c r="H4" s="5"/>
      <c r="I4" s="5">
        <v>11.99</v>
      </c>
      <c r="J4" s="61">
        <f>(Table5[[#This Row],[RPM]]/5400-1)</f>
        <v>0.33333333333333326</v>
      </c>
      <c r="K4" s="45">
        <v>227</v>
      </c>
      <c r="L4">
        <v>3</v>
      </c>
      <c r="M4" s="36">
        <v>600000</v>
      </c>
      <c r="O4" s="36">
        <v>1000000</v>
      </c>
      <c r="P4" s="35">
        <f t="shared" si="0"/>
        <v>100000000000000</v>
      </c>
      <c r="Q4" s="53">
        <f t="shared" si="1"/>
        <v>30</v>
      </c>
      <c r="R4" s="5"/>
      <c r="S4" s="5">
        <v>7.3</v>
      </c>
      <c r="T4" s="108"/>
      <c r="U4" s="111" t="str">
        <f>""</f>
        <v/>
      </c>
      <c r="V4" s="111" t="str">
        <f>""</f>
        <v/>
      </c>
      <c r="W4" s="117">
        <v>157.99</v>
      </c>
      <c r="X4" s="6">
        <f>IF(Table5[[#This Row],[Cost]],Table5[[#This Row],[Cost]]/Table5[[#This Row],[SizTB]]*Exchange_Rate,"")</f>
        <v>26.331666666666667</v>
      </c>
      <c r="Y4" s="146">
        <f>Table5[[#This Row],[Cost]]+((CompareWarrYrs-Table5[[#This Row],[Warranty]])*(Incremental_Warr_Yr*Table5[[#This Row],[Cost]]))*Exchange_Rate</f>
        <v>192.74780000000001</v>
      </c>
      <c r="Z4" s="6">
        <f>IF(Table5[[#This Row],[$+Warr]],Table5[[#This Row],[$+Warr]]/Table5[[#This Row],[SizTB]],"")</f>
        <v>32.124633333333335</v>
      </c>
      <c r="AA4" s="6">
        <f>IFERROR(Table5[[#This Row],[$PerTB]]/CompareWarrYrs,"")</f>
        <v>6.4249266666666669</v>
      </c>
      <c r="AB4" s="6" t="str">
        <f>IF(OR(Table5[[#This Row],[$ TB/year]]="",Table5[[#This Row],[Energy$yearPerTB]]=""),"",Table5[[#This Row],[$ TB/year]]+Table5[[#This Row],[Energy$yearPerTB]])</f>
        <v/>
      </c>
      <c r="AC4" s="156">
        <v>29</v>
      </c>
      <c r="AD4" s="157"/>
      <c r="AE4" s="68" t="s">
        <v>78</v>
      </c>
    </row>
    <row r="5" spans="1:31" x14ac:dyDescent="0.25">
      <c r="A5" s="1">
        <v>43301</v>
      </c>
      <c r="B5" t="s">
        <v>15</v>
      </c>
      <c r="C5" s="96" t="s">
        <v>16</v>
      </c>
      <c r="D5" s="27" t="s">
        <v>49</v>
      </c>
      <c r="E5" s="81">
        <v>3.5</v>
      </c>
      <c r="F5" s="69">
        <v>8</v>
      </c>
      <c r="G5" s="42">
        <v>7200</v>
      </c>
      <c r="H5" s="5"/>
      <c r="I5" s="5">
        <v>11.99</v>
      </c>
      <c r="J5" s="61">
        <f>(Table5[[#This Row],[RPM]]/5400-1)</f>
        <v>0.33333333333333326</v>
      </c>
      <c r="K5" s="45">
        <v>205</v>
      </c>
      <c r="L5">
        <v>3</v>
      </c>
      <c r="M5" s="36">
        <v>600000</v>
      </c>
      <c r="O5" s="36">
        <v>1000000</v>
      </c>
      <c r="P5" s="35">
        <f t="shared" si="0"/>
        <v>100000000000000</v>
      </c>
      <c r="Q5" s="53">
        <f t="shared" si="1"/>
        <v>30</v>
      </c>
      <c r="R5" s="5"/>
      <c r="S5" s="5">
        <v>5.0999999999999996</v>
      </c>
      <c r="T5" s="108"/>
      <c r="U5" s="111" t="str">
        <f>""</f>
        <v/>
      </c>
      <c r="V5" s="111" t="str">
        <f>""</f>
        <v/>
      </c>
      <c r="W5" s="117">
        <v>219.99</v>
      </c>
      <c r="X5" s="6">
        <f>IF(Table5[[#This Row],[Cost]],Table5[[#This Row],[Cost]]/Table5[[#This Row],[SizTB]]*Exchange_Rate,"")</f>
        <v>27.498750000000001</v>
      </c>
      <c r="Y5" s="146">
        <f>Table5[[#This Row],[Cost]]+((CompareWarrYrs-Table5[[#This Row],[Warranty]])*(Incremental_Warr_Yr*Table5[[#This Row],[Cost]]))*Exchange_Rate</f>
        <v>268.38780000000003</v>
      </c>
      <c r="Z5" s="6">
        <f>IF(Table5[[#This Row],[$+Warr]],Table5[[#This Row],[$+Warr]]/Table5[[#This Row],[SizTB]],"")</f>
        <v>33.548475000000003</v>
      </c>
      <c r="AA5" s="6">
        <f>IFERROR(Table5[[#This Row],[$PerTB]]/CompareWarrYrs,"")</f>
        <v>6.7096950000000009</v>
      </c>
      <c r="AB5" s="6" t="str">
        <f>IF(OR(Table5[[#This Row],[$ TB/year]]="",Table5[[#This Row],[Energy$yearPerTB]]=""),"",Table5[[#This Row],[$ TB/year]]+Table5[[#This Row],[Energy$yearPerTB]])</f>
        <v/>
      </c>
      <c r="AC5" s="156">
        <v>29</v>
      </c>
      <c r="AD5" s="157"/>
      <c r="AE5" s="40"/>
    </row>
    <row r="6" spans="1:31" x14ac:dyDescent="0.25">
      <c r="A6" s="1">
        <v>43334</v>
      </c>
      <c r="B6" t="s">
        <v>15</v>
      </c>
      <c r="C6" s="96" t="s">
        <v>16</v>
      </c>
      <c r="D6" s="27" t="s">
        <v>49</v>
      </c>
      <c r="E6" s="81">
        <v>3.5</v>
      </c>
      <c r="F6" s="69">
        <v>10</v>
      </c>
      <c r="G6" s="42">
        <v>7200</v>
      </c>
      <c r="H6" s="5"/>
      <c r="I6" s="5">
        <v>11.99</v>
      </c>
      <c r="J6" s="61">
        <f>(Table5[[#This Row],[RPM]]/5400-1)</f>
        <v>0.33333333333333326</v>
      </c>
      <c r="K6" s="45">
        <v>240</v>
      </c>
      <c r="L6">
        <v>3</v>
      </c>
      <c r="M6" s="36">
        <v>600000</v>
      </c>
      <c r="O6" s="36">
        <v>1000000</v>
      </c>
      <c r="P6" s="35">
        <f t="shared" si="0"/>
        <v>100000000000000</v>
      </c>
      <c r="Q6" s="53">
        <f t="shared" si="1"/>
        <v>30</v>
      </c>
      <c r="R6" s="5"/>
      <c r="S6" s="5">
        <v>5.0999999999999996</v>
      </c>
      <c r="T6" s="108"/>
      <c r="U6" s="111" t="str">
        <f>""</f>
        <v/>
      </c>
      <c r="V6" s="111" t="str">
        <f>""</f>
        <v/>
      </c>
      <c r="W6" s="117">
        <v>289.99</v>
      </c>
      <c r="X6" s="6">
        <f>IF(Table5[[#This Row],[Cost]],Table5[[#This Row],[Cost]]/Table5[[#This Row],[SizTB]]*Exchange_Rate,"")</f>
        <v>28.999000000000002</v>
      </c>
      <c r="Y6" s="146">
        <f>Table5[[#This Row],[Cost]]+((CompareWarrYrs-Table5[[#This Row],[Warranty]])*(Incremental_Warr_Yr*Table5[[#This Row],[Cost]]))*Exchange_Rate</f>
        <v>353.7878</v>
      </c>
      <c r="Z6" s="6">
        <f>IF(Table5[[#This Row],[$+Warr]],Table5[[#This Row],[$+Warr]]/Table5[[#This Row],[SizTB]],"")</f>
        <v>35.378779999999999</v>
      </c>
      <c r="AA6" s="6">
        <f>IFERROR(Table5[[#This Row],[$PerTB]]/CompareWarrYrs,"")</f>
        <v>7.0757560000000002</v>
      </c>
      <c r="AB6" s="6" t="str">
        <f>IF(OR(Table5[[#This Row],[$ TB/year]]="",Table5[[#This Row],[Energy$yearPerTB]]=""),"",Table5[[#This Row],[$ TB/year]]+Table5[[#This Row],[Energy$yearPerTB]])</f>
        <v/>
      </c>
      <c r="AC6" s="156">
        <v>29</v>
      </c>
      <c r="AD6" s="157"/>
      <c r="AE6" s="40"/>
    </row>
    <row r="7" spans="1:31" x14ac:dyDescent="0.25">
      <c r="A7" s="1">
        <v>43298</v>
      </c>
      <c r="B7" t="s">
        <v>15</v>
      </c>
      <c r="C7" s="96" t="s">
        <v>137</v>
      </c>
      <c r="D7" s="27" t="s">
        <v>126</v>
      </c>
      <c r="E7" s="81">
        <v>2.5</v>
      </c>
      <c r="F7" s="69">
        <v>1</v>
      </c>
      <c r="G7" s="42">
        <v>5400</v>
      </c>
      <c r="H7" s="5">
        <v>5.5</v>
      </c>
      <c r="I7" s="5">
        <v>12</v>
      </c>
      <c r="J7" s="61">
        <f>(Table5[[#This Row],[RPM]]/5400-1)</f>
        <v>0</v>
      </c>
      <c r="K7" s="45">
        <v>99</v>
      </c>
      <c r="L7">
        <v>3</v>
      </c>
      <c r="M7" s="36">
        <v>600000</v>
      </c>
      <c r="O7" s="36"/>
      <c r="P7" s="35"/>
      <c r="Q7" s="53">
        <v>4.5</v>
      </c>
      <c r="R7" s="5">
        <v>1.6</v>
      </c>
      <c r="S7" s="5">
        <v>0.8</v>
      </c>
      <c r="T7" s="108">
        <v>0.2</v>
      </c>
      <c r="U7" s="111">
        <f>(((Table5[[#This Row],[Watts Active]]*Power_On_Hours_Year/1000)*Active_Duty_Cycle)+((Table5[[#This Row],[Watts Idle]]*Power_On_Hours_Year/1000)*(100%-Active_Duty_Cycle)))*CostPerKWH</f>
        <v>1.0518912</v>
      </c>
      <c r="V7" s="111">
        <f>Table5[Energy$year]/Table5[[#This Row],[SizTB]]</f>
        <v>1.0518912</v>
      </c>
      <c r="W7" s="117">
        <v>48.99</v>
      </c>
      <c r="X7" s="6">
        <f>IF(Table5[[#This Row],[Cost]],Table5[[#This Row],[Cost]]/Table5[[#This Row],[SizTB]]*Exchange_Rate,"")</f>
        <v>48.99</v>
      </c>
      <c r="Y7" s="146">
        <f>Table5[[#This Row],[Cost]]+((CompareWarrYrs-Table5[[#This Row],[Warranty]])*(Incremental_Warr_Yr*Table5[[#This Row],[Cost]]))*Exchange_Rate</f>
        <v>59.767800000000001</v>
      </c>
      <c r="Z7" s="6">
        <f>IF(Table5[[#This Row],[$+Warr]],Table5[[#This Row],[$+Warr]]/Table5[[#This Row],[SizTB]],"")</f>
        <v>59.767800000000001</v>
      </c>
      <c r="AA7" s="6">
        <f>IFERROR(Table5[[#This Row],[$PerTB]]/CompareWarrYrs,"")</f>
        <v>11.95356</v>
      </c>
      <c r="AB7" s="6">
        <f>IF(OR(Table5[[#This Row],[$ TB/year]]="",Table5[[#This Row],[Energy$yearPerTB]]=""),"",Table5[[#This Row],[$ TB/year]]+Table5[[#This Row],[Energy$yearPerTB]])</f>
        <v>13.0054512</v>
      </c>
      <c r="AC7" s="156"/>
      <c r="AD7" s="157"/>
      <c r="AE7" s="40"/>
    </row>
    <row r="8" spans="1:31" x14ac:dyDescent="0.25">
      <c r="A8" s="1">
        <v>43298</v>
      </c>
      <c r="B8" t="s">
        <v>15</v>
      </c>
      <c r="C8" s="96" t="s">
        <v>138</v>
      </c>
      <c r="D8" s="27" t="s">
        <v>126</v>
      </c>
      <c r="E8" s="81">
        <v>2.5</v>
      </c>
      <c r="F8" s="69">
        <v>1</v>
      </c>
      <c r="G8" s="42">
        <v>7200</v>
      </c>
      <c r="H8" s="5">
        <v>4.2</v>
      </c>
      <c r="I8" s="5">
        <v>12</v>
      </c>
      <c r="J8" s="61">
        <f>(Table5[[#This Row],[RPM]]/5400-1)</f>
        <v>0.33333333333333326</v>
      </c>
      <c r="K8" s="45">
        <v>128</v>
      </c>
      <c r="L8">
        <v>3</v>
      </c>
      <c r="M8" s="36">
        <v>600000</v>
      </c>
      <c r="O8" s="36"/>
      <c r="P8" s="35"/>
      <c r="Q8" s="53">
        <v>5.5</v>
      </c>
      <c r="R8" s="5">
        <v>2.7</v>
      </c>
      <c r="S8" s="5">
        <v>2</v>
      </c>
      <c r="T8" s="108">
        <v>0.2</v>
      </c>
      <c r="U8" s="111">
        <f>(((Table5[[#This Row],[Watts Active]]*Power_On_Hours_Year/1000)*Active_Duty_Cycle)+((Table5[[#This Row],[Watts Idle]]*Power_On_Hours_Year/1000)*(100%-Active_Duty_Cycle)))*CostPerKWH</f>
        <v>2.3448408000000001</v>
      </c>
      <c r="V8" s="111">
        <f>Table5[Energy$year]/Table5[[#This Row],[SizTB]]</f>
        <v>2.3448408000000001</v>
      </c>
      <c r="W8" s="117">
        <v>58.75</v>
      </c>
      <c r="X8" s="6">
        <f>IF(Table5[[#This Row],[Cost]],Table5[[#This Row],[Cost]]/Table5[[#This Row],[SizTB]]*Exchange_Rate,"")</f>
        <v>58.75</v>
      </c>
      <c r="Y8" s="146">
        <f>Table5[[#This Row],[Cost]]+((CompareWarrYrs-Table5[[#This Row],[Warranty]])*(Incremental_Warr_Yr*Table5[[#This Row],[Cost]]))*Exchange_Rate</f>
        <v>71.674999999999997</v>
      </c>
      <c r="Z8" s="6">
        <f>IF(Table5[[#This Row],[$+Warr]],Table5[[#This Row],[$+Warr]]/Table5[[#This Row],[SizTB]],"")</f>
        <v>71.674999999999997</v>
      </c>
      <c r="AA8" s="6">
        <f>IFERROR(Table5[[#This Row],[$PerTB]]/CompareWarrYrs,"")</f>
        <v>14.334999999999999</v>
      </c>
      <c r="AB8" s="6">
        <f>IF(OR(Table5[[#This Row],[$ TB/year]]="",Table5[[#This Row],[Energy$yearPerTB]]=""),"",Table5[[#This Row],[$ TB/year]]+Table5[[#This Row],[Energy$yearPerTB]])</f>
        <v>16.679840800000001</v>
      </c>
      <c r="AC8" s="156"/>
      <c r="AD8" s="157"/>
      <c r="AE8" s="40"/>
    </row>
    <row r="9" spans="1:31" x14ac:dyDescent="0.25">
      <c r="A9" s="1">
        <v>43094</v>
      </c>
      <c r="B9" t="s">
        <v>15</v>
      </c>
      <c r="C9" s="96" t="s">
        <v>136</v>
      </c>
      <c r="D9" s="107" t="s">
        <v>49</v>
      </c>
      <c r="E9" s="81">
        <v>3.5</v>
      </c>
      <c r="F9" s="69">
        <v>1</v>
      </c>
      <c r="G9" s="42">
        <v>7200</v>
      </c>
      <c r="H9" s="5">
        <v>4.2</v>
      </c>
      <c r="I9" s="5">
        <v>8.3000000000000007</v>
      </c>
      <c r="J9" s="61">
        <f>(Table5[[#This Row],[RPM]]/5400-1)</f>
        <v>0.33333333333333326</v>
      </c>
      <c r="K9" s="45">
        <v>175</v>
      </c>
      <c r="L9">
        <v>5</v>
      </c>
      <c r="M9" s="36">
        <v>600000</v>
      </c>
      <c r="N9">
        <v>550</v>
      </c>
      <c r="O9" s="36">
        <v>2000000</v>
      </c>
      <c r="P9" s="35">
        <v>1000000000000000</v>
      </c>
      <c r="Q9" s="53"/>
      <c r="R9" s="5">
        <v>8.1</v>
      </c>
      <c r="S9" s="5">
        <v>5.9</v>
      </c>
      <c r="T9" s="108"/>
      <c r="U9" s="111">
        <f>(((Table5[[#This Row],[Watts Active]]*Power_On_Hours_Year/1000)*Active_Duty_Cycle)+((Table5[[#This Row],[Watts Idle]]*Power_On_Hours_Year/1000)*(100%-Active_Duty_Cycle)))*CostPerKWH</f>
        <v>6.9468648000000002</v>
      </c>
      <c r="V9" s="111">
        <f>Table5[Energy$year]/Table5[[#This Row],[SizTB]]</f>
        <v>6.9468648000000002</v>
      </c>
      <c r="W9" s="117">
        <v>53.9</v>
      </c>
      <c r="X9" s="6">
        <f>IF(Table5[[#This Row],[Cost]],Table5[[#This Row],[Cost]]/Table5[[#This Row],[SizTB]]*Exchange_Rate,"")</f>
        <v>53.9</v>
      </c>
      <c r="Y9" s="146">
        <f>Table5[[#This Row],[Cost]]+((CompareWarrYrs-Table5[[#This Row],[Warranty]])*(Incremental_Warr_Yr*Table5[[#This Row],[Cost]]))*Exchange_Rate</f>
        <v>53.9</v>
      </c>
      <c r="Z9" s="6">
        <f>IF(Table5[[#This Row],[$+Warr]],Table5[[#This Row],[$+Warr]]/Table5[[#This Row],[SizTB]],"")</f>
        <v>53.9</v>
      </c>
      <c r="AA9" s="6">
        <f>IFERROR(Table5[[#This Row],[$PerTB]]/CompareWarrYrs,"")</f>
        <v>10.78</v>
      </c>
      <c r="AB9" s="6">
        <f>IF(OR(Table5[[#This Row],[$ TB/year]]="",Table5[[#This Row],[Energy$yearPerTB]]=""),"",Table5[[#This Row],[$ TB/year]]+Table5[[#This Row],[Energy$yearPerTB]])</f>
        <v>17.726864800000001</v>
      </c>
      <c r="AC9" s="156"/>
      <c r="AD9" s="157"/>
      <c r="AE9" s="40"/>
    </row>
    <row r="10" spans="1:31" x14ac:dyDescent="0.25">
      <c r="A10" s="1">
        <v>43094</v>
      </c>
      <c r="B10" t="s">
        <v>15</v>
      </c>
      <c r="C10" s="96" t="s">
        <v>136</v>
      </c>
      <c r="D10" s="107" t="s">
        <v>49</v>
      </c>
      <c r="E10" s="81">
        <v>3.5</v>
      </c>
      <c r="F10" s="69">
        <v>2</v>
      </c>
      <c r="G10" s="42">
        <v>7200</v>
      </c>
      <c r="H10" s="5">
        <v>4.2</v>
      </c>
      <c r="I10" s="5">
        <v>8.3000000000000007</v>
      </c>
      <c r="J10" s="61">
        <f>(Table5[[#This Row],[RPM]]/5400-1)</f>
        <v>0.33333333333333326</v>
      </c>
      <c r="K10" s="45">
        <v>175</v>
      </c>
      <c r="L10">
        <v>5</v>
      </c>
      <c r="M10" s="36">
        <v>600000</v>
      </c>
      <c r="N10">
        <v>550</v>
      </c>
      <c r="O10" s="36">
        <v>2000000</v>
      </c>
      <c r="P10" s="35">
        <v>1000000000000000</v>
      </c>
      <c r="Q10" s="53"/>
      <c r="R10" s="5">
        <v>8.1</v>
      </c>
      <c r="S10" s="5">
        <v>5.9</v>
      </c>
      <c r="T10" s="108"/>
      <c r="U10" s="111">
        <f>(((Table5[[#This Row],[Watts Active]]*Power_On_Hours_Year/1000)*Active_Duty_Cycle)+((Table5[[#This Row],[Watts Idle]]*Power_On_Hours_Year/1000)*(100%-Active_Duty_Cycle)))*CostPerKWH</f>
        <v>6.9468648000000002</v>
      </c>
      <c r="V10" s="111">
        <f>Table5[Energy$year]/Table5[[#This Row],[SizTB]]</f>
        <v>3.4734324000000001</v>
      </c>
      <c r="W10" s="117">
        <v>121.38</v>
      </c>
      <c r="X10" s="6">
        <f>IF(Table5[[#This Row],[Cost]],Table5[[#This Row],[Cost]]/Table5[[#This Row],[SizTB]]*Exchange_Rate,"")</f>
        <v>60.69</v>
      </c>
      <c r="Y10" s="146">
        <f>Table5[[#This Row],[Cost]]+((CompareWarrYrs-Table5[[#This Row],[Warranty]])*(Incremental_Warr_Yr*Table5[[#This Row],[Cost]]))*Exchange_Rate</f>
        <v>121.38</v>
      </c>
      <c r="Z10" s="6">
        <f>IF(Table5[[#This Row],[$+Warr]],Table5[[#This Row],[$+Warr]]/Table5[[#This Row],[SizTB]],"")</f>
        <v>60.69</v>
      </c>
      <c r="AA10" s="6">
        <f>IFERROR(Table5[[#This Row],[$PerTB]]/CompareWarrYrs,"")</f>
        <v>12.138</v>
      </c>
      <c r="AB10" s="6">
        <f>IF(OR(Table5[[#This Row],[$ TB/year]]="",Table5[[#This Row],[Energy$yearPerTB]]=""),"",Table5[[#This Row],[$ TB/year]]+Table5[[#This Row],[Energy$yearPerTB]])</f>
        <v>15.6114324</v>
      </c>
      <c r="AC10" s="156"/>
      <c r="AD10" s="157"/>
      <c r="AE10" s="40"/>
    </row>
    <row r="11" spans="1:31" x14ac:dyDescent="0.25">
      <c r="A11" s="1">
        <v>43298</v>
      </c>
      <c r="B11" t="s">
        <v>15</v>
      </c>
      <c r="C11" s="96" t="s">
        <v>146</v>
      </c>
      <c r="D11" s="107" t="s">
        <v>49</v>
      </c>
      <c r="E11" s="81">
        <v>3.5</v>
      </c>
      <c r="F11" s="69">
        <v>2</v>
      </c>
      <c r="G11" s="42">
        <v>7200</v>
      </c>
      <c r="H11" s="5"/>
      <c r="I11" s="5">
        <v>8</v>
      </c>
      <c r="J11" s="61">
        <f>(Table5[[#This Row],[RPM]]/5400-1)</f>
        <v>0.33333333333333326</v>
      </c>
      <c r="K11" s="45">
        <v>171</v>
      </c>
      <c r="L11">
        <v>5</v>
      </c>
      <c r="M11" s="36">
        <v>600000</v>
      </c>
      <c r="O11" s="36">
        <v>2000000</v>
      </c>
      <c r="P11" s="35">
        <v>1000000000000000</v>
      </c>
      <c r="Q11" s="53">
        <f>2*12+1.2*5</f>
        <v>30</v>
      </c>
      <c r="R11" s="5">
        <v>11.4</v>
      </c>
      <c r="S11" s="5">
        <v>6.9</v>
      </c>
      <c r="T11" s="108"/>
      <c r="U11" s="111">
        <f>(((Table5[[#This Row],[Watts Active]]*Power_On_Hours_Year/1000)*Active_Duty_Cycle)+((Table5[[#This Row],[Watts Idle]]*Power_On_Hours_Year/1000)*(100%-Active_Duty_Cycle)))*CostPerKWH</f>
        <v>8.5466160000000002</v>
      </c>
      <c r="V11" s="111">
        <f>Table5[Energy$year]/Table5[[#This Row],[SizTB]]</f>
        <v>4.2733080000000001</v>
      </c>
      <c r="W11" s="117">
        <v>120.89</v>
      </c>
      <c r="X11" s="6">
        <f>IF(Table5[[#This Row],[Cost]],Table5[[#This Row],[Cost]]/Table5[[#This Row],[SizTB]]*Exchange_Rate,"")</f>
        <v>60.445</v>
      </c>
      <c r="Y11" s="146">
        <f>Table5[[#This Row],[Cost]]+((CompareWarrYrs-Table5[[#This Row],[Warranty]])*(Incremental_Warr_Yr*Table5[[#This Row],[Cost]]))</f>
        <v>120.89</v>
      </c>
      <c r="Z11" s="6">
        <f>IF(Table5[[#This Row],[$+Warr]],Table5[[#This Row],[$+Warr]]/Table5[[#This Row],[SizTB]],"")</f>
        <v>60.445</v>
      </c>
      <c r="AA11" s="6">
        <f>IFERROR(Table5[[#This Row],[$PerTB]]/CompareWarrYrs,"")</f>
        <v>12.089</v>
      </c>
      <c r="AB11" s="6">
        <f>IF(OR(Table5[[#This Row],[$ TB/year]]="",Table5[[#This Row],[Energy$yearPerTB]]=""),"",Table5[[#This Row],[$ TB/year]]+Table5[[#This Row],[Energy$yearPerTB]])</f>
        <v>16.362307999999999</v>
      </c>
      <c r="AC11"/>
      <c r="AD11" s="157"/>
      <c r="AE11" s="40"/>
    </row>
    <row r="12" spans="1:31" x14ac:dyDescent="0.25">
      <c r="A12" s="1">
        <v>43284</v>
      </c>
      <c r="B12" t="s">
        <v>15</v>
      </c>
      <c r="C12" s="96" t="s">
        <v>146</v>
      </c>
      <c r="D12" s="107" t="s">
        <v>49</v>
      </c>
      <c r="E12" s="81">
        <v>3.5</v>
      </c>
      <c r="F12" s="69">
        <v>3</v>
      </c>
      <c r="G12" s="42">
        <v>7200</v>
      </c>
      <c r="H12" s="5"/>
      <c r="I12" s="5">
        <v>8</v>
      </c>
      <c r="J12" s="61">
        <f>(Table5[[#This Row],[RPM]]/5400-1)</f>
        <v>0.33333333333333326</v>
      </c>
      <c r="K12" s="45">
        <v>171</v>
      </c>
      <c r="L12">
        <v>5</v>
      </c>
      <c r="M12" s="36">
        <v>600000</v>
      </c>
      <c r="O12" s="36">
        <v>2000000</v>
      </c>
      <c r="P12" s="35">
        <v>1000000000000000</v>
      </c>
      <c r="Q12" s="53">
        <f>2*12+1.2*5</f>
        <v>30</v>
      </c>
      <c r="R12" s="5">
        <v>11.4</v>
      </c>
      <c r="S12" s="5">
        <v>6.9</v>
      </c>
      <c r="T12" s="108"/>
      <c r="U12" s="111">
        <f>(((Table5[[#This Row],[Watts Active]]*Power_On_Hours_Year/1000)*Active_Duty_Cycle)+((Table5[[#This Row],[Watts Idle]]*Power_On_Hours_Year/1000)*(100%-Active_Duty_Cycle)))*CostPerKWH</f>
        <v>8.5466160000000002</v>
      </c>
      <c r="V12" s="111">
        <f>Table5[Energy$year]/Table5[[#This Row],[SizTB]]</f>
        <v>2.8488720000000001</v>
      </c>
      <c r="W12" s="117">
        <v>170</v>
      </c>
      <c r="X12" s="6">
        <f>IF(Table5[[#This Row],[Cost]],Table5[[#This Row],[Cost]]/Table5[[#This Row],[SizTB]]*Exchange_Rate,"")</f>
        <v>56.666666666666664</v>
      </c>
      <c r="Y12" s="146">
        <f>Table5[[#This Row],[Cost]]+((CompareWarrYrs-Table5[[#This Row],[Warranty]])*(Incremental_Warr_Yr*Table5[[#This Row],[Cost]]))</f>
        <v>170</v>
      </c>
      <c r="Z12" s="6">
        <f>IF(Table5[[#This Row],[$+Warr]],Table5[[#This Row],[$+Warr]]/Table5[[#This Row],[SizTB]],"")</f>
        <v>56.666666666666664</v>
      </c>
      <c r="AA12" s="6">
        <f>IFERROR(Table5[[#This Row],[$PerTB]]/CompareWarrYrs,"")</f>
        <v>11.333333333333332</v>
      </c>
      <c r="AB12" s="6">
        <f>IF(OR(Table5[[#This Row],[$ TB/year]]="",Table5[[#This Row],[Energy$yearPerTB]]=""),"",Table5[[#This Row],[$ TB/year]]+Table5[[#This Row],[Energy$yearPerTB]])</f>
        <v>14.182205333333332</v>
      </c>
      <c r="AC12" s="156"/>
      <c r="AD12" s="157"/>
      <c r="AE12" s="40"/>
    </row>
    <row r="13" spans="1:31" x14ac:dyDescent="0.25">
      <c r="A13" s="1">
        <v>43298</v>
      </c>
      <c r="B13" t="s">
        <v>15</v>
      </c>
      <c r="C13" s="96" t="s">
        <v>146</v>
      </c>
      <c r="D13" s="107" t="s">
        <v>49</v>
      </c>
      <c r="E13" s="81">
        <v>3.5</v>
      </c>
      <c r="F13" s="69">
        <v>4</v>
      </c>
      <c r="G13" s="42">
        <v>7200</v>
      </c>
      <c r="H13" s="5"/>
      <c r="I13" s="5">
        <v>8</v>
      </c>
      <c r="J13" s="61">
        <f>(Table5[[#This Row],[RPM]]/5400-1)</f>
        <v>0.33333333333333326</v>
      </c>
      <c r="K13" s="45">
        <v>171</v>
      </c>
      <c r="L13">
        <v>5</v>
      </c>
      <c r="M13" s="36">
        <v>600000</v>
      </c>
      <c r="O13" s="36">
        <v>2000000</v>
      </c>
      <c r="P13" s="35">
        <v>1000000000000000</v>
      </c>
      <c r="Q13" s="53">
        <f>2*12+1.2*5</f>
        <v>30</v>
      </c>
      <c r="R13" s="5">
        <v>11.4</v>
      </c>
      <c r="S13" s="5">
        <v>6.9</v>
      </c>
      <c r="T13" s="108"/>
      <c r="U13" s="111">
        <f>(((Table5[[#This Row],[Watts Active]]*Power_On_Hours_Year/1000)*Active_Duty_Cycle)+((Table5[[#This Row],[Watts Idle]]*Power_On_Hours_Year/1000)*(100%-Active_Duty_Cycle)))*CostPerKWH</f>
        <v>8.5466160000000002</v>
      </c>
      <c r="V13" s="111">
        <f>Table5[Energy$year]/Table5[[#This Row],[SizTB]]</f>
        <v>2.1366540000000001</v>
      </c>
      <c r="W13" s="117">
        <v>119.59</v>
      </c>
      <c r="X13" s="6">
        <f>IF(Table5[[#This Row],[Cost]],Table5[[#This Row],[Cost]]/Table5[[#This Row],[SizTB]]*Exchange_Rate,"")</f>
        <v>29.897500000000001</v>
      </c>
      <c r="Y13" s="146">
        <f>Table5[[#This Row],[Cost]]+((CompareWarrYrs-Table5[[#This Row],[Warranty]])*(Incremental_Warr_Yr*Table5[[#This Row],[Cost]]))</f>
        <v>119.59</v>
      </c>
      <c r="Z13" s="6">
        <f>IF(Table5[[#This Row],[$+Warr]],Table5[[#This Row],[$+Warr]]/Table5[[#This Row],[SizTB]],"")</f>
        <v>29.897500000000001</v>
      </c>
      <c r="AA13" s="6">
        <f>IFERROR(Table5[[#This Row],[$PerTB]]/CompareWarrYrs,"")</f>
        <v>5.9794999999999998</v>
      </c>
      <c r="AB13" s="6">
        <f>IF(OR(Table5[[#This Row],[$ TB/year]]="",Table5[[#This Row],[Energy$yearPerTB]]=""),"",Table5[[#This Row],[$ TB/year]]+Table5[[#This Row],[Energy$yearPerTB]])</f>
        <v>8.1161539999999999</v>
      </c>
      <c r="AC13" s="156"/>
      <c r="AD13" s="157"/>
      <c r="AE13" s="40"/>
    </row>
    <row r="14" spans="1:31" x14ac:dyDescent="0.25">
      <c r="A14" s="1">
        <v>43298</v>
      </c>
      <c r="B14" t="s">
        <v>15</v>
      </c>
      <c r="C14" s="96" t="s">
        <v>135</v>
      </c>
      <c r="D14" s="27" t="s">
        <v>49</v>
      </c>
      <c r="E14" s="81">
        <v>3.5</v>
      </c>
      <c r="F14" s="69">
        <v>2</v>
      </c>
      <c r="G14" s="42">
        <v>7200</v>
      </c>
      <c r="H14" s="5">
        <v>4.16</v>
      </c>
      <c r="I14" s="5">
        <v>8</v>
      </c>
      <c r="J14" s="61">
        <f>(Table5[[#This Row],[RPM]]/5400-1)</f>
        <v>0.33333333333333326</v>
      </c>
      <c r="K14" s="45">
        <v>192</v>
      </c>
      <c r="L14">
        <v>5</v>
      </c>
      <c r="M14" s="36">
        <v>600000</v>
      </c>
      <c r="O14" s="36">
        <v>2000000</v>
      </c>
      <c r="P14" s="35">
        <v>1000000000000000</v>
      </c>
      <c r="Q14" s="53"/>
      <c r="R14" s="5">
        <v>9.1</v>
      </c>
      <c r="S14" s="5">
        <v>7.1</v>
      </c>
      <c r="T14" s="108"/>
      <c r="U14" s="111">
        <f>(((Table5[[#This Row],[Watts Active]]*Power_On_Hours_Year/1000)*Active_Duty_Cycle)+((Table5[[#This Row],[Watts Idle]]*Power_On_Hours_Year/1000)*(100%-Active_Duty_Cycle)))*CostPerKWH</f>
        <v>8.2179000000000002</v>
      </c>
      <c r="V14" s="111">
        <f>Table5[Energy$year]/Table5[[#This Row],[SizTB]]</f>
        <v>4.1089500000000001</v>
      </c>
      <c r="W14" s="117">
        <v>154.21</v>
      </c>
      <c r="X14" s="6">
        <f>IF(Table5[[#This Row],[Cost]],Table5[[#This Row],[Cost]]/Table5[[#This Row],[SizTB]]*Exchange_Rate,"")</f>
        <v>77.105000000000004</v>
      </c>
      <c r="Y14" s="146">
        <f>Table5[[#This Row],[Cost]]+((CompareWarrYrs-Table5[[#This Row],[Warranty]])*(Incremental_Warr_Yr*Table5[[#This Row],[Cost]]))*Exchange_Rate</f>
        <v>154.21</v>
      </c>
      <c r="Z14" s="6">
        <f>IF(Table5[[#This Row],[$+Warr]],Table5[[#This Row],[$+Warr]]/Table5[[#This Row],[SizTB]],"")</f>
        <v>77.105000000000004</v>
      </c>
      <c r="AA14" s="6">
        <f>IFERROR(Table5[[#This Row],[$PerTB]]/CompareWarrYrs,"")</f>
        <v>15.421000000000001</v>
      </c>
      <c r="AB14" s="6">
        <f>IF(OR(Table5[[#This Row],[$ TB/year]]="",Table5[[#This Row],[Energy$yearPerTB]]=""),"",Table5[[#This Row],[$ TB/year]]+Table5[[#This Row],[Energy$yearPerTB]])</f>
        <v>19.529949999999999</v>
      </c>
      <c r="AC14" s="156">
        <f>10*2.9</f>
        <v>29</v>
      </c>
      <c r="AD14" s="157">
        <f>10*3.6</f>
        <v>36</v>
      </c>
      <c r="AE14" s="40"/>
    </row>
    <row r="15" spans="1:31" x14ac:dyDescent="0.25">
      <c r="A15" s="1">
        <v>43053</v>
      </c>
      <c r="B15" t="s">
        <v>15</v>
      </c>
      <c r="C15" s="96" t="s">
        <v>135</v>
      </c>
      <c r="D15" s="27" t="s">
        <v>49</v>
      </c>
      <c r="E15" s="81">
        <v>3.5</v>
      </c>
      <c r="F15" s="69">
        <v>4</v>
      </c>
      <c r="G15" s="42">
        <v>7200</v>
      </c>
      <c r="H15" s="5">
        <v>4.16</v>
      </c>
      <c r="I15" s="5">
        <v>8</v>
      </c>
      <c r="J15" s="61">
        <f>(Table5[[#This Row],[RPM]]/5400-1)</f>
        <v>0.33333333333333326</v>
      </c>
      <c r="K15" s="45">
        <v>192</v>
      </c>
      <c r="L15">
        <v>5</v>
      </c>
      <c r="M15" s="36">
        <v>600000</v>
      </c>
      <c r="O15" s="36">
        <v>2000000</v>
      </c>
      <c r="P15" s="35">
        <v>1000000000000000</v>
      </c>
      <c r="Q15" s="53"/>
      <c r="R15" s="5">
        <v>9.1</v>
      </c>
      <c r="S15" s="5">
        <v>7.1</v>
      </c>
      <c r="T15" s="108"/>
      <c r="U15" s="111">
        <f>(((Table5[[#This Row],[Watts Active]]*Power_On_Hours_Year/1000)*Active_Duty_Cycle)+((Table5[[#This Row],[Watts Idle]]*Power_On_Hours_Year/1000)*(100%-Active_Duty_Cycle)))*CostPerKWH</f>
        <v>8.2179000000000002</v>
      </c>
      <c r="V15" s="111">
        <f>Table5[Energy$year]/Table5[[#This Row],[SizTB]]</f>
        <v>2.0544750000000001</v>
      </c>
      <c r="W15" s="117">
        <v>194.85</v>
      </c>
      <c r="X15" s="6">
        <f>IF(Table5[[#This Row],[Cost]],Table5[[#This Row],[Cost]]/Table5[[#This Row],[SizTB]]*Exchange_Rate,"")</f>
        <v>48.712499999999999</v>
      </c>
      <c r="Y15" s="146">
        <f>Table5[[#This Row],[Cost]]+((CompareWarrYrs-Table5[[#This Row],[Warranty]])*(Incremental_Warr_Yr*Table5[[#This Row],[Cost]]))*Exchange_Rate</f>
        <v>194.85</v>
      </c>
      <c r="Z15" s="6">
        <f>IF(Table5[[#This Row],[$+Warr]],Table5[[#This Row],[$+Warr]]/Table5[[#This Row],[SizTB]],"")</f>
        <v>48.712499999999999</v>
      </c>
      <c r="AA15" s="6">
        <f>IFERROR(Table5[[#This Row],[$PerTB]]/CompareWarrYrs,"")</f>
        <v>9.7424999999999997</v>
      </c>
      <c r="AB15" s="6">
        <f>IF(OR(Table5[[#This Row],[$ TB/year]]="",Table5[[#This Row],[Energy$yearPerTB]]=""),"",Table5[[#This Row],[$ TB/year]]+Table5[[#This Row],[Energy$yearPerTB]])</f>
        <v>11.796975</v>
      </c>
      <c r="AC15" s="156">
        <f t="shared" ref="AC15:AC17" si="2">10*2.9</f>
        <v>29</v>
      </c>
      <c r="AD15" s="157">
        <f t="shared" ref="AD15:AD17" si="3">10*3.6</f>
        <v>36</v>
      </c>
      <c r="AE15" s="40"/>
    </row>
    <row r="16" spans="1:31" x14ac:dyDescent="0.25">
      <c r="A16" s="1">
        <v>43053</v>
      </c>
      <c r="B16" t="s">
        <v>15</v>
      </c>
      <c r="C16" s="96" t="s">
        <v>135</v>
      </c>
      <c r="D16" s="27" t="s">
        <v>49</v>
      </c>
      <c r="E16" s="81">
        <v>3.5</v>
      </c>
      <c r="F16" s="69">
        <v>5</v>
      </c>
      <c r="G16" s="42">
        <v>7200</v>
      </c>
      <c r="H16" s="5">
        <v>4.16</v>
      </c>
      <c r="I16" s="5">
        <v>8</v>
      </c>
      <c r="J16" s="61">
        <f>(Table5[[#This Row],[RPM]]/5400-1)</f>
        <v>0.33333333333333326</v>
      </c>
      <c r="K16" s="45">
        <v>192</v>
      </c>
      <c r="L16">
        <v>5</v>
      </c>
      <c r="M16" s="36">
        <v>600000</v>
      </c>
      <c r="O16" s="36">
        <v>2000000</v>
      </c>
      <c r="P16" s="35">
        <v>1000000000000000</v>
      </c>
      <c r="Q16" s="53"/>
      <c r="R16" s="5">
        <v>9.1</v>
      </c>
      <c r="S16" s="5">
        <v>7.1</v>
      </c>
      <c r="T16" s="108"/>
      <c r="U16" s="111">
        <f>(((Table5[[#This Row],[Watts Active]]*Power_On_Hours_Year/1000)*Active_Duty_Cycle)+((Table5[[#This Row],[Watts Idle]]*Power_On_Hours_Year/1000)*(100%-Active_Duty_Cycle)))*CostPerKWH</f>
        <v>8.2179000000000002</v>
      </c>
      <c r="V16" s="111">
        <f>Table5[Energy$year]/Table5[[#This Row],[SizTB]]</f>
        <v>1.64358</v>
      </c>
      <c r="W16" s="117">
        <v>281.95999999999998</v>
      </c>
      <c r="X16" s="6">
        <f>IF(Table5[[#This Row],[Cost]],Table5[[#This Row],[Cost]]/Table5[[#This Row],[SizTB]]*Exchange_Rate,"")</f>
        <v>56.391999999999996</v>
      </c>
      <c r="Y16" s="146">
        <f>Table5[[#This Row],[Cost]]+((CompareWarrYrs-Table5[[#This Row],[Warranty]])*(Incremental_Warr_Yr*Table5[[#This Row],[Cost]]))*Exchange_Rate</f>
        <v>281.95999999999998</v>
      </c>
      <c r="Z16" s="6">
        <f>IF(Table5[[#This Row],[$+Warr]],Table5[[#This Row],[$+Warr]]/Table5[[#This Row],[SizTB]],"")</f>
        <v>56.391999999999996</v>
      </c>
      <c r="AA16" s="6">
        <f>IFERROR(Table5[[#This Row],[$PerTB]]/CompareWarrYrs,"")</f>
        <v>11.2784</v>
      </c>
      <c r="AB16" s="6">
        <f>IF(OR(Table5[[#This Row],[$ TB/year]]="",Table5[[#This Row],[Energy$yearPerTB]]=""),"",Table5[[#This Row],[$ TB/year]]+Table5[[#This Row],[Energy$yearPerTB]])</f>
        <v>12.92198</v>
      </c>
      <c r="AC16" s="156">
        <f t="shared" si="2"/>
        <v>29</v>
      </c>
      <c r="AD16" s="157">
        <f t="shared" si="3"/>
        <v>36</v>
      </c>
      <c r="AE16" s="40"/>
    </row>
    <row r="17" spans="1:31" x14ac:dyDescent="0.25">
      <c r="A17" s="1">
        <v>43179</v>
      </c>
      <c r="B17" t="s">
        <v>15</v>
      </c>
      <c r="C17" s="96" t="s">
        <v>135</v>
      </c>
      <c r="D17" s="27" t="s">
        <v>49</v>
      </c>
      <c r="E17" s="81">
        <v>3.5</v>
      </c>
      <c r="F17" s="69">
        <v>6</v>
      </c>
      <c r="G17" s="42">
        <v>7200</v>
      </c>
      <c r="H17" s="5">
        <v>4.16</v>
      </c>
      <c r="I17" s="5">
        <v>8</v>
      </c>
      <c r="J17" s="61">
        <f>(Table5[[#This Row],[RPM]]/5400-1)</f>
        <v>0.33333333333333326</v>
      </c>
      <c r="K17" s="45">
        <v>216</v>
      </c>
      <c r="L17">
        <v>5</v>
      </c>
      <c r="M17" s="36">
        <v>600000</v>
      </c>
      <c r="O17" s="36">
        <v>2000000</v>
      </c>
      <c r="P17" s="35">
        <v>1000000000000000</v>
      </c>
      <c r="Q17" s="53"/>
      <c r="R17" s="5">
        <v>9.1</v>
      </c>
      <c r="S17" s="5">
        <v>7.1</v>
      </c>
      <c r="T17" s="108"/>
      <c r="U17" s="111">
        <f>(((Table5[[#This Row],[Watts Active]]*Power_On_Hours_Year/1000)*Active_Duty_Cycle)+((Table5[[#This Row],[Watts Idle]]*Power_On_Hours_Year/1000)*(100%-Active_Duty_Cycle)))*CostPerKWH</f>
        <v>8.2179000000000002</v>
      </c>
      <c r="V17" s="111">
        <f>Table5[Energy$year]/Table5[[#This Row],[SizTB]]</f>
        <v>1.36965</v>
      </c>
      <c r="W17" s="117">
        <f>273.99+7.73</f>
        <v>281.72000000000003</v>
      </c>
      <c r="X17" s="6">
        <f>IF(Table5[[#This Row],[Cost]],Table5[[#This Row],[Cost]]/Table5[[#This Row],[SizTB]]*Exchange_Rate,"")</f>
        <v>46.95333333333334</v>
      </c>
      <c r="Y17" s="146">
        <f>Table5[[#This Row],[Cost]]+((CompareWarrYrs-Table5[[#This Row],[Warranty]])*(Incremental_Warr_Yr*Table5[[#This Row],[Cost]]))*Exchange_Rate</f>
        <v>281.72000000000003</v>
      </c>
      <c r="Z17" s="6">
        <f>IF(Table5[[#This Row],[$+Warr]],Table5[[#This Row],[$+Warr]]/Table5[[#This Row],[SizTB]],"")</f>
        <v>46.95333333333334</v>
      </c>
      <c r="AA17" s="6">
        <f>IFERROR(Table5[[#This Row],[$PerTB]]/CompareWarrYrs,"")</f>
        <v>9.390666666666668</v>
      </c>
      <c r="AB17" s="6">
        <f>IF(OR(Table5[[#This Row],[$ TB/year]]="",Table5[[#This Row],[Energy$yearPerTB]]=""),"",Table5[[#This Row],[$ TB/year]]+Table5[[#This Row],[Energy$yearPerTB]])</f>
        <v>10.760316666666668</v>
      </c>
      <c r="AC17" s="156">
        <f t="shared" si="2"/>
        <v>29</v>
      </c>
      <c r="AD17" s="157">
        <f t="shared" si="3"/>
        <v>36</v>
      </c>
      <c r="AE17" s="40"/>
    </row>
    <row r="18" spans="1:31" x14ac:dyDescent="0.25">
      <c r="A18" s="1">
        <v>43033</v>
      </c>
      <c r="B18" t="s">
        <v>15</v>
      </c>
      <c r="C18" s="96" t="s">
        <v>119</v>
      </c>
      <c r="D18" s="27" t="s">
        <v>110</v>
      </c>
      <c r="E18" s="81">
        <v>3.5</v>
      </c>
      <c r="F18" s="69">
        <v>8</v>
      </c>
      <c r="G18" s="42">
        <v>7200</v>
      </c>
      <c r="H18" s="5">
        <v>4.16</v>
      </c>
      <c r="I18" s="5">
        <v>8.5</v>
      </c>
      <c r="J18" s="61">
        <f>(Table5[[#This Row],[RPM]]/5400-1)</f>
        <v>0.33333333333333326</v>
      </c>
      <c r="K18" s="45">
        <v>157</v>
      </c>
      <c r="L18">
        <v>5</v>
      </c>
      <c r="M18" s="36">
        <v>600000</v>
      </c>
      <c r="O18" s="36">
        <v>2000000</v>
      </c>
      <c r="P18" s="35">
        <v>1000000000000000</v>
      </c>
      <c r="Q18" s="53"/>
      <c r="R18" s="5">
        <v>7.6</v>
      </c>
      <c r="S18" s="5">
        <v>5.0999999999999996</v>
      </c>
      <c r="T18" s="108"/>
      <c r="U18" s="111">
        <f>(((Table5[[#This Row],[Watts Active]]*Power_On_Hours_Year/1000)*Active_Duty_Cycle)+((Table5[[#This Row],[Watts Idle]]*Power_On_Hours_Year/1000)*(100%-Active_Duty_Cycle)))*CostPerKWH</f>
        <v>6.1360319999999993</v>
      </c>
      <c r="V18" s="111">
        <f>Table5[Energy$year]/Table5[[#This Row],[SizTB]]</f>
        <v>0.76700399999999991</v>
      </c>
      <c r="W18" s="117">
        <v>373</v>
      </c>
      <c r="X18" s="6">
        <f>IF(Table5[[#This Row],[Cost]],Table5[[#This Row],[Cost]]/Table5[[#This Row],[SizTB]]*Exchange_Rate,"")</f>
        <v>46.625</v>
      </c>
      <c r="Y18" s="146">
        <f>Table5[[#This Row],[Cost]]+((CompareWarrYrs-Table5[[#This Row],[Warranty]])*(Incremental_Warr_Yr*Table5[[#This Row],[Cost]]))*Exchange_Rate</f>
        <v>373</v>
      </c>
      <c r="Z18" s="6">
        <f>IF(Table5[[#This Row],[$+Warr]],Table5[[#This Row],[$+Warr]]/Table5[[#This Row],[SizTB]],"")</f>
        <v>46.625</v>
      </c>
      <c r="AA18" s="6">
        <f>IFERROR(Table5[[#This Row],[$PerTB]]/CompareWarrYrs,"")</f>
        <v>9.3249999999999993</v>
      </c>
      <c r="AB18" s="6">
        <f>IF(OR(Table5[[#This Row],[$ TB/year]]="",Table5[[#This Row],[Energy$yearPerTB]]=""),"",Table5[[#This Row],[$ TB/year]]+Table5[[#This Row],[Energy$yearPerTB]])</f>
        <v>10.092003999999999</v>
      </c>
      <c r="AC18" s="156"/>
      <c r="AD18" s="157"/>
      <c r="AE18" s="103" t="s">
        <v>96</v>
      </c>
    </row>
    <row r="19" spans="1:31" x14ac:dyDescent="0.25">
      <c r="A19" s="1">
        <v>43114</v>
      </c>
      <c r="B19" t="s">
        <v>15</v>
      </c>
      <c r="C19" s="96" t="s">
        <v>148</v>
      </c>
      <c r="D19" s="107" t="s">
        <v>49</v>
      </c>
      <c r="E19" s="81">
        <v>2.5</v>
      </c>
      <c r="F19" s="69">
        <v>0.9</v>
      </c>
      <c r="G19" s="42">
        <v>10520</v>
      </c>
      <c r="H19" s="5">
        <v>2.85</v>
      </c>
      <c r="I19" s="5">
        <v>8.5</v>
      </c>
      <c r="J19" s="61">
        <f>(Table5[[#This Row],[RPM]]/5400-1)</f>
        <v>0.94814814814814818</v>
      </c>
      <c r="K19" s="45">
        <v>224</v>
      </c>
      <c r="L19">
        <v>5</v>
      </c>
      <c r="M19" s="36"/>
      <c r="O19" s="36">
        <v>2000000</v>
      </c>
      <c r="P19" s="35">
        <v>1E+16</v>
      </c>
      <c r="Q19" s="53"/>
      <c r="R19" s="5">
        <v>6.5</v>
      </c>
      <c r="S19" s="5">
        <v>4.7</v>
      </c>
      <c r="T19" s="108"/>
      <c r="U19" s="111">
        <f>(((Table5[[#This Row],[Watts Active]]*Power_On_Hours_Year/1000)*Active_Duty_Cycle)+((Table5[[#This Row],[Watts Idle]]*Power_On_Hours_Year/1000)*(100%-Active_Duty_Cycle)))*CostPerKWH</f>
        <v>5.5443432000000001</v>
      </c>
      <c r="V19" s="111">
        <f>Table5[Energy$year]/Table5[[#This Row],[SizTB]]</f>
        <v>6.1603813333333335</v>
      </c>
      <c r="W19" s="117">
        <v>129.99</v>
      </c>
      <c r="X19" s="6">
        <f>IF(Table5[[#This Row],[Cost]],Table5[[#This Row],[Cost]]/Table5[[#This Row],[SizTB]]*Exchange_Rate,"")</f>
        <v>144.43333333333334</v>
      </c>
      <c r="Y19" s="146">
        <f>Table5[[#This Row],[Cost]]+((CompareWarrYrs-Table5[[#This Row],[Warranty]])*(Incremental_Warr_Yr*Table5[[#This Row],[Cost]]))*Exchange_Rate</f>
        <v>129.99</v>
      </c>
      <c r="Z19" s="6">
        <f>IF(Table5[[#This Row],[$+Warr]],Table5[[#This Row],[$+Warr]]/Table5[[#This Row],[SizTB]],"")</f>
        <v>144.43333333333334</v>
      </c>
      <c r="AA19" s="6">
        <f>IFERROR(Table5[[#This Row],[$PerTB]]/CompareWarrYrs,"")</f>
        <v>28.886666666666667</v>
      </c>
      <c r="AB19" s="6">
        <f>IF(OR(Table5[[#This Row],[$ TB/year]]="",Table5[[#This Row],[Energy$yearPerTB]]=""),"",Table5[[#This Row],[$ TB/year]]+Table5[[#This Row],[Energy$yearPerTB]])</f>
        <v>35.047048000000004</v>
      </c>
      <c r="AC19" s="156"/>
      <c r="AD19" s="157"/>
      <c r="AE19" s="40"/>
    </row>
    <row r="20" spans="1:31" x14ac:dyDescent="0.25">
      <c r="A20" s="1">
        <v>43114</v>
      </c>
      <c r="B20" t="s">
        <v>15</v>
      </c>
      <c r="C20" s="96" t="s">
        <v>97</v>
      </c>
      <c r="D20" s="95" t="s">
        <v>49</v>
      </c>
      <c r="E20" s="81">
        <v>2.5</v>
      </c>
      <c r="F20" s="69">
        <v>1.2</v>
      </c>
      <c r="G20" s="42">
        <v>10520</v>
      </c>
      <c r="H20" s="5">
        <v>2.85</v>
      </c>
      <c r="I20" s="5">
        <v>8.5</v>
      </c>
      <c r="J20" s="61">
        <f>(Table5[[#This Row],[RPM]]/5400-1)</f>
        <v>0.94814814814814818</v>
      </c>
      <c r="K20" s="45">
        <v>224</v>
      </c>
      <c r="L20">
        <v>5</v>
      </c>
      <c r="M20" s="36"/>
      <c r="O20" s="36">
        <v>2000000</v>
      </c>
      <c r="P20" s="35">
        <v>1E+16</v>
      </c>
      <c r="Q20" s="53"/>
      <c r="R20" s="5">
        <v>6.5</v>
      </c>
      <c r="S20" s="5">
        <v>4.7</v>
      </c>
      <c r="T20" s="108"/>
      <c r="U20" s="111">
        <f>(((Table5[[#This Row],[Watts Active]]*Power_On_Hours_Year/1000)*Active_Duty_Cycle)+((Table5[[#This Row],[Watts Idle]]*Power_On_Hours_Year/1000)*(100%-Active_Duty_Cycle)))*CostPerKWH</f>
        <v>5.5443432000000001</v>
      </c>
      <c r="V20" s="111">
        <f>Table5[Energy$year]/Table5[[#This Row],[SizTB]]</f>
        <v>4.6202860000000001</v>
      </c>
      <c r="W20" s="117">
        <v>170</v>
      </c>
      <c r="X20" s="6">
        <f>IF(Table5[[#This Row],[Cost]],Table5[[#This Row],[Cost]]/Table5[[#This Row],[SizTB]]*Exchange_Rate,"")</f>
        <v>141.66666666666669</v>
      </c>
      <c r="Y20" s="146">
        <f>Table5[[#This Row],[Cost]]+((CompareWarrYrs-Table5[[#This Row],[Warranty]])*(Incremental_Warr_Yr*Table5[[#This Row],[Cost]]))*Exchange_Rate</f>
        <v>170</v>
      </c>
      <c r="Z20" s="6">
        <f>IF(Table5[[#This Row],[$+Warr]],Table5[[#This Row],[$+Warr]]/Table5[[#This Row],[SizTB]],"")</f>
        <v>141.66666666666669</v>
      </c>
      <c r="AA20" s="6">
        <f>IFERROR(Table5[[#This Row],[$PerTB]]/CompareWarrYrs,"")</f>
        <v>28.333333333333336</v>
      </c>
      <c r="AB20" s="6">
        <f>IF(OR(Table5[[#This Row],[$ TB/year]]="",Table5[[#This Row],[Energy$yearPerTB]]=""),"",Table5[[#This Row],[$ TB/year]]+Table5[[#This Row],[Energy$yearPerTB]])</f>
        <v>32.953619333333336</v>
      </c>
      <c r="AC20" s="156"/>
      <c r="AD20" s="157"/>
      <c r="AE20" s="40"/>
    </row>
    <row r="21" spans="1:31" x14ac:dyDescent="0.25">
      <c r="A21" s="1">
        <v>43114</v>
      </c>
      <c r="B21" t="s">
        <v>15</v>
      </c>
      <c r="C21" s="96" t="s">
        <v>86</v>
      </c>
      <c r="D21" s="95" t="s">
        <v>49</v>
      </c>
      <c r="E21" s="81">
        <v>2.5</v>
      </c>
      <c r="F21" s="69">
        <v>1.8</v>
      </c>
      <c r="G21" s="42">
        <v>10520</v>
      </c>
      <c r="H21" s="5">
        <v>2.85</v>
      </c>
      <c r="I21" s="5">
        <v>8.5</v>
      </c>
      <c r="J21" s="61">
        <f>(Table5[[#This Row],[RPM]]/5400-1)</f>
        <v>0.94814814814814818</v>
      </c>
      <c r="K21" s="45">
        <v>224</v>
      </c>
      <c r="L21">
        <v>5</v>
      </c>
      <c r="M21" s="36"/>
      <c r="O21" s="36">
        <v>2000000</v>
      </c>
      <c r="P21" s="35">
        <v>1E+16</v>
      </c>
      <c r="Q21" s="53"/>
      <c r="R21" s="5">
        <v>6.6</v>
      </c>
      <c r="S21" s="5">
        <v>4.7</v>
      </c>
      <c r="T21" s="108"/>
      <c r="U21" s="111">
        <f>(((Table5[[#This Row],[Watts Active]]*Power_On_Hours_Year/1000)*Active_Duty_Cycle)+((Table5[[#This Row],[Watts Idle]]*Power_On_Hours_Year/1000)*(100%-Active_Duty_Cycle)))*CostPerKWH</f>
        <v>5.5662576000000001</v>
      </c>
      <c r="V21" s="111">
        <f>Table5[Energy$year]/Table5[[#This Row],[SizTB]]</f>
        <v>3.0923653333333334</v>
      </c>
      <c r="W21" s="117">
        <v>199.99</v>
      </c>
      <c r="X21" s="6">
        <f>IF(Table5[[#This Row],[Cost]],Table5[[#This Row],[Cost]]/Table5[[#This Row],[SizTB]]*Exchange_Rate,"")</f>
        <v>111.10555555555555</v>
      </c>
      <c r="Y21" s="146">
        <f>Table5[[#This Row],[Cost]]+((CompareWarrYrs-Table5[[#This Row],[Warranty]])*(Incremental_Warr_Yr*Table5[[#This Row],[Cost]]))*Exchange_Rate</f>
        <v>199.99</v>
      </c>
      <c r="Z21" s="6">
        <f>IF(Table5[[#This Row],[$+Warr]],Table5[[#This Row],[$+Warr]]/Table5[[#This Row],[SizTB]],"")</f>
        <v>111.10555555555555</v>
      </c>
      <c r="AA21" s="6">
        <f>IFERROR(Table5[[#This Row],[$PerTB]]/CompareWarrYrs,"")</f>
        <v>22.22111111111111</v>
      </c>
      <c r="AB21" s="6">
        <f>IF(OR(Table5[[#This Row],[$ TB/year]]="",Table5[[#This Row],[Energy$yearPerTB]]=""),"",Table5[[#This Row],[$ TB/year]]+Table5[[#This Row],[Energy$yearPerTB]])</f>
        <v>25.313476444444444</v>
      </c>
      <c r="AC21" s="156"/>
      <c r="AD21" s="157"/>
      <c r="AE21" s="40"/>
    </row>
    <row r="22" spans="1:31" x14ac:dyDescent="0.25">
      <c r="A22" s="1">
        <v>43284</v>
      </c>
      <c r="B22" t="s">
        <v>15</v>
      </c>
      <c r="C22" s="96" t="s">
        <v>87</v>
      </c>
      <c r="D22" s="95" t="s">
        <v>49</v>
      </c>
      <c r="E22" s="81">
        <v>2.5</v>
      </c>
      <c r="F22" s="69">
        <v>0.6</v>
      </c>
      <c r="G22" s="42">
        <v>15030</v>
      </c>
      <c r="H22" s="5">
        <v>1.99</v>
      </c>
      <c r="I22" s="5">
        <v>8.5</v>
      </c>
      <c r="J22" s="61">
        <f>(Table5[[#This Row],[RPM]]/5400-1)</f>
        <v>1.7833333333333332</v>
      </c>
      <c r="K22" s="45">
        <v>250</v>
      </c>
      <c r="L22">
        <v>5</v>
      </c>
      <c r="M22" s="36"/>
      <c r="O22" s="36">
        <v>2000000</v>
      </c>
      <c r="P22" s="35">
        <v>1E+17</v>
      </c>
      <c r="Q22" s="53"/>
      <c r="R22" s="5">
        <v>7.5</v>
      </c>
      <c r="S22" s="5">
        <v>5.8</v>
      </c>
      <c r="T22" s="108"/>
      <c r="U22" s="111">
        <f>(((Table5[[#This Row],[Watts Active]]*Power_On_Hours_Year/1000)*Active_Duty_Cycle)+((Table5[[#This Row],[Watts Idle]]*Power_On_Hours_Year/1000)*(100%-Active_Duty_Cycle)))*CostPerKWH</f>
        <v>6.7277208000000002</v>
      </c>
      <c r="V22" s="111">
        <f>Table5[Energy$year]/Table5[[#This Row],[SizTB]]</f>
        <v>11.212868</v>
      </c>
      <c r="W22" s="117">
        <v>169.99</v>
      </c>
      <c r="X22" s="6">
        <f>IF(Table5[[#This Row],[Cost]],Table5[[#This Row],[Cost]]/Table5[[#This Row],[SizTB]]*Exchange_Rate,"")</f>
        <v>283.31666666666672</v>
      </c>
      <c r="Y22" s="146">
        <f>Table5[[#This Row],[Cost]]+((CompareWarrYrs-Table5[[#This Row],[Warranty]])*(Incremental_Warr_Yr*Table5[[#This Row],[Cost]]))*Exchange_Rate</f>
        <v>169.99</v>
      </c>
      <c r="Z22" s="6">
        <f>IF(Table5[[#This Row],[$+Warr]],Table5[[#This Row],[$+Warr]]/Table5[[#This Row],[SizTB]],"")</f>
        <v>283.31666666666672</v>
      </c>
      <c r="AA22" s="6">
        <f>IFERROR(Table5[[#This Row],[$PerTB]]/CompareWarrYrs,"")</f>
        <v>56.663333333333341</v>
      </c>
      <c r="AB22" s="6">
        <f>IF(OR(Table5[[#This Row],[$ TB/year]]="",Table5[[#This Row],[Energy$yearPerTB]]=""),"",Table5[[#This Row],[$ TB/year]]+Table5[[#This Row],[Energy$yearPerTB]])</f>
        <v>67.876201333333341</v>
      </c>
      <c r="AC22" s="156"/>
      <c r="AD22" s="157"/>
      <c r="AE22" s="103" t="s">
        <v>123</v>
      </c>
    </row>
    <row r="23" spans="1:31" x14ac:dyDescent="0.25">
      <c r="A23" s="1">
        <v>43284</v>
      </c>
      <c r="B23" t="s">
        <v>15</v>
      </c>
      <c r="C23" s="96" t="s">
        <v>120</v>
      </c>
      <c r="D23" s="27" t="s">
        <v>49</v>
      </c>
      <c r="E23" s="81">
        <v>3.5</v>
      </c>
      <c r="F23" s="69">
        <v>6</v>
      </c>
      <c r="G23" s="42">
        <v>7200</v>
      </c>
      <c r="H23" s="5">
        <v>4.16</v>
      </c>
      <c r="I23" s="5">
        <v>8.5</v>
      </c>
      <c r="J23" s="61">
        <f>(Table5[[#This Row],[RPM]]/5400-1)</f>
        <v>0.33333333333333326</v>
      </c>
      <c r="K23" s="45">
        <v>195</v>
      </c>
      <c r="L23">
        <v>5</v>
      </c>
      <c r="M23" s="36">
        <v>600000</v>
      </c>
      <c r="N23">
        <v>550</v>
      </c>
      <c r="O23" s="36">
        <v>2500000</v>
      </c>
      <c r="P23" s="35">
        <v>1000000000000000</v>
      </c>
      <c r="Q23" s="53"/>
      <c r="R23" s="5">
        <v>7.4</v>
      </c>
      <c r="S23" s="5">
        <v>5.0999999999999996</v>
      </c>
      <c r="T23" s="108"/>
      <c r="U23" s="111">
        <f>(((Table5[[#This Row],[Watts Active]]*Power_On_Hours_Year/1000)*Active_Duty_Cycle)+((Table5[[#This Row],[Watts Idle]]*Power_On_Hours_Year/1000)*(100%-Active_Duty_Cycle)))*CostPerKWH</f>
        <v>6.0922031999999993</v>
      </c>
      <c r="V23" s="111">
        <f>Table5[Energy$year]/Table5[[#This Row],[SizTB]]</f>
        <v>1.0153671999999998</v>
      </c>
      <c r="W23" s="117">
        <f>313.6+12.95</f>
        <v>326.55</v>
      </c>
      <c r="X23" s="6">
        <f>IF(Table5[[#This Row],[Cost]],Table5[[#This Row],[Cost]]/Table5[[#This Row],[SizTB]]*Exchange_Rate,"")</f>
        <v>54.425000000000004</v>
      </c>
      <c r="Y23" s="146">
        <f>Table5[[#This Row],[Cost]]+((CompareWarrYrs-Table5[[#This Row],[Warranty]])*(Incremental_Warr_Yr*Table5[[#This Row],[Cost]]))*Exchange_Rate</f>
        <v>326.55</v>
      </c>
      <c r="Z23" s="6">
        <f>IF(Table5[[#This Row],[$+Warr]],Table5[[#This Row],[$+Warr]]/Table5[[#This Row],[SizTB]],"")</f>
        <v>54.425000000000004</v>
      </c>
      <c r="AA23" s="6">
        <f>IFERROR(Table5[[#This Row],[$PerTB]]/CompareWarrYrs,"")</f>
        <v>10.885000000000002</v>
      </c>
      <c r="AB23" s="6">
        <f>IF(OR(Table5[[#This Row],[$ TB/year]]="",Table5[[#This Row],[Energy$yearPerTB]]=""),"",Table5[[#This Row],[$ TB/year]]+Table5[[#This Row],[Energy$yearPerTB]])</f>
        <v>11.900367200000002</v>
      </c>
      <c r="AC23" s="156">
        <v>20</v>
      </c>
      <c r="AD23" s="157"/>
      <c r="AE23" s="103" t="s">
        <v>37</v>
      </c>
    </row>
    <row r="24" spans="1:31" x14ac:dyDescent="0.25">
      <c r="A24" s="1">
        <v>43284</v>
      </c>
      <c r="B24" t="s">
        <v>15</v>
      </c>
      <c r="C24" s="96" t="s">
        <v>151</v>
      </c>
      <c r="D24" s="27" t="s">
        <v>49</v>
      </c>
      <c r="E24" s="81">
        <v>3.5</v>
      </c>
      <c r="F24" s="69">
        <v>8</v>
      </c>
      <c r="G24" s="42">
        <v>7200</v>
      </c>
      <c r="H24" s="5">
        <v>4.16</v>
      </c>
      <c r="I24" s="5">
        <v>8.5</v>
      </c>
      <c r="J24" s="61">
        <f>(Table5[[#This Row],[RPM]]/5400-1)</f>
        <v>0.33333333333333326</v>
      </c>
      <c r="K24" s="45">
        <v>237</v>
      </c>
      <c r="L24">
        <v>5</v>
      </c>
      <c r="M24" s="36">
        <v>600000</v>
      </c>
      <c r="N24">
        <v>550</v>
      </c>
      <c r="O24" s="36">
        <v>2500000</v>
      </c>
      <c r="P24" s="35">
        <v>1000000000000000</v>
      </c>
      <c r="Q24" s="53"/>
      <c r="R24" s="5">
        <v>7.4</v>
      </c>
      <c r="S24" s="5">
        <v>5.0999999999999996</v>
      </c>
      <c r="T24" s="108"/>
      <c r="U24" s="111">
        <f>(((Table5[[#This Row],[Watts Active]]*Power_On_Hours_Year/1000)*Active_Duty_Cycle)+((Table5[[#This Row],[Watts Idle]]*Power_On_Hours_Year/1000)*(100%-Active_Duty_Cycle)))*CostPerKWH</f>
        <v>6.0922031999999993</v>
      </c>
      <c r="V24" s="111">
        <f>Table5[Energy$year]/Table5[[#This Row],[SizTB]]</f>
        <v>0.76152539999999991</v>
      </c>
      <c r="W24" s="117">
        <v>330.59</v>
      </c>
      <c r="X24" s="6">
        <f>IF(Table5[[#This Row],[Cost]],Table5[[#This Row],[Cost]]/Table5[[#This Row],[SizTB]]*Exchange_Rate,"")</f>
        <v>41.323749999999997</v>
      </c>
      <c r="Y24" s="146">
        <f>Table5[[#This Row],[Cost]]+((CompareWarrYrs-Table5[[#This Row],[Warranty]])*(Incremental_Warr_Yr*Table5[[#This Row],[Cost]]))*Exchange_Rate</f>
        <v>330.59</v>
      </c>
      <c r="Z24" s="6">
        <f>IF(Table5[[#This Row],[$+Warr]],Table5[[#This Row],[$+Warr]]/Table5[[#This Row],[SizTB]],"")</f>
        <v>41.323749999999997</v>
      </c>
      <c r="AA24" s="6">
        <f>IFERROR(Table5[[#This Row],[$PerTB]]/CompareWarrYrs,"")</f>
        <v>8.2647499999999994</v>
      </c>
      <c r="AB24" s="6">
        <f>IF(OR(Table5[[#This Row],[$ TB/year]]="",Table5[[#This Row],[Energy$yearPerTB]]=""),"",Table5[[#This Row],[$ TB/year]]+Table5[[#This Row],[Energy$yearPerTB]])</f>
        <v>9.0262753999999994</v>
      </c>
      <c r="AC24" s="156">
        <v>20</v>
      </c>
      <c r="AD24" s="157">
        <v>36</v>
      </c>
      <c r="AE24" s="103" t="s">
        <v>122</v>
      </c>
    </row>
    <row r="25" spans="1:31" ht="17.25" x14ac:dyDescent="0.25">
      <c r="A25" s="1">
        <v>43284</v>
      </c>
      <c r="B25" t="s">
        <v>15</v>
      </c>
      <c r="C25" s="96" t="s">
        <v>112</v>
      </c>
      <c r="D25" s="27" t="s">
        <v>49</v>
      </c>
      <c r="E25" s="81">
        <v>3.5</v>
      </c>
      <c r="F25" s="69">
        <v>10</v>
      </c>
      <c r="G25" s="42">
        <v>7200</v>
      </c>
      <c r="H25" s="5">
        <v>4.16</v>
      </c>
      <c r="I25" s="5">
        <v>8.5</v>
      </c>
      <c r="J25" s="61">
        <f>(Table5[[#This Row],[RPM]]/5400-1)</f>
        <v>0.33333333333333326</v>
      </c>
      <c r="K25" s="45">
        <v>237</v>
      </c>
      <c r="L25">
        <v>5</v>
      </c>
      <c r="M25" s="36">
        <v>600000</v>
      </c>
      <c r="N25">
        <v>550</v>
      </c>
      <c r="O25" s="36">
        <v>2500000</v>
      </c>
      <c r="P25" s="35">
        <v>1000000000000000</v>
      </c>
      <c r="Q25" s="53"/>
      <c r="R25" s="5">
        <v>6.8</v>
      </c>
      <c r="S25" s="5">
        <v>5</v>
      </c>
      <c r="T25" s="108"/>
      <c r="U25" s="111">
        <f>(((Table5[[#This Row],[Watts Active]]*Power_On_Hours_Year/1000)*Active_Duty_Cycle)+((Table5[[#This Row],[Watts Idle]]*Power_On_Hours_Year/1000)*(100%-Active_Duty_Cycle)))*CostPerKWH</f>
        <v>5.8730592000000001</v>
      </c>
      <c r="V25" s="142">
        <f>Table5[Energy$year]/Table5[[#This Row],[SizTB]]</f>
        <v>0.58730592000000004</v>
      </c>
      <c r="W25" s="141">
        <v>344.56</v>
      </c>
      <c r="X25" s="6">
        <f>IF(Table5[[#This Row],[Cost]],Table5[[#This Row],[Cost]]/Table5[[#This Row],[SizTB]]*Exchange_Rate,"")</f>
        <v>34.456000000000003</v>
      </c>
      <c r="Y25" s="146">
        <f>Table5[[#This Row],[Cost]]+((CompareWarrYrs-Table5[[#This Row],[Warranty]])*(Incremental_Warr_Yr*Table5[[#This Row],[Cost]]))*Exchange_Rate</f>
        <v>344.56</v>
      </c>
      <c r="Z25" s="6">
        <f>IF(Table5[[#This Row],[$+Warr]],Table5[[#This Row],[$+Warr]]/Table5[[#This Row],[SizTB]],"")</f>
        <v>34.456000000000003</v>
      </c>
      <c r="AA25" s="6">
        <f>IFERROR(Table5[[#This Row],[$PerTB]]/CompareWarrYrs,"")</f>
        <v>6.8912000000000004</v>
      </c>
      <c r="AB25" s="6">
        <f>IF(OR(Table5[[#This Row],[$ TB/year]]="",Table5[[#This Row],[Energy$yearPerTB]]=""),"",Table5[[#This Row],[$ TB/year]]+Table5[[#This Row],[Energy$yearPerTB]])</f>
        <v>7.4785059200000008</v>
      </c>
      <c r="AC25" s="156">
        <v>20</v>
      </c>
      <c r="AD25" s="157">
        <v>36</v>
      </c>
      <c r="AE25" s="103" t="s">
        <v>37</v>
      </c>
    </row>
    <row r="26" spans="1:31" ht="17.25" x14ac:dyDescent="0.25">
      <c r="A26" s="1">
        <v>43284</v>
      </c>
      <c r="B26" t="s">
        <v>15</v>
      </c>
      <c r="C26" s="96" t="s">
        <v>111</v>
      </c>
      <c r="D26" s="93" t="s">
        <v>49</v>
      </c>
      <c r="E26" s="81">
        <v>3.5</v>
      </c>
      <c r="F26" s="69">
        <v>12</v>
      </c>
      <c r="G26" s="42">
        <v>7200</v>
      </c>
      <c r="H26" s="5">
        <v>4.16</v>
      </c>
      <c r="I26" s="5">
        <v>8.5</v>
      </c>
      <c r="J26" s="61">
        <f>(Table5[[#This Row],[RPM]]/5400-1)</f>
        <v>0.33333333333333326</v>
      </c>
      <c r="K26" s="45">
        <v>243</v>
      </c>
      <c r="L26">
        <v>5</v>
      </c>
      <c r="M26" s="36">
        <v>600000</v>
      </c>
      <c r="N26">
        <v>550</v>
      </c>
      <c r="O26" s="36">
        <v>2500000</v>
      </c>
      <c r="P26" s="35">
        <v>1000000000000000</v>
      </c>
      <c r="Q26" s="53"/>
      <c r="R26" s="5">
        <v>7.2</v>
      </c>
      <c r="S26" s="5">
        <v>5.3</v>
      </c>
      <c r="T26" s="108"/>
      <c r="U26" s="111">
        <f>(((Table5[[#This Row],[Watts Active]]*Power_On_Hours_Year/1000)*Active_Duty_Cycle)+((Table5[[#This Row],[Watts Idle]]*Power_On_Hours_Year/1000)*(100%-Active_Duty_Cycle)))*CostPerKWH</f>
        <v>6.2236896000000002</v>
      </c>
      <c r="V26" s="142">
        <f>Table5[Energy$year]/Table5[[#This Row],[SizTB]]</f>
        <v>0.51864080000000001</v>
      </c>
      <c r="W26" s="141">
        <v>429.99</v>
      </c>
      <c r="X26" s="6">
        <f>IF(Table5[[#This Row],[Cost]],Table5[[#This Row],[Cost]]/Table5[[#This Row],[SizTB]]*Exchange_Rate,"")</f>
        <v>35.832500000000003</v>
      </c>
      <c r="Y26" s="146">
        <f>Table5[[#This Row],[Cost]]+((CompareWarrYrs-Table5[[#This Row],[Warranty]])*(Incremental_Warr_Yr*Table5[[#This Row],[Cost]]))*Exchange_Rate</f>
        <v>429.99</v>
      </c>
      <c r="Z26" s="6">
        <f>IF(Table5[[#This Row],[$+Warr]],Table5[[#This Row],[$+Warr]]/Table5[[#This Row],[SizTB]],"")</f>
        <v>35.832500000000003</v>
      </c>
      <c r="AA26" s="6">
        <f>IFERROR(Table5[[#This Row],[$PerTB]]/CompareWarrYrs,"")</f>
        <v>7.166500000000001</v>
      </c>
      <c r="AB26" s="6">
        <f>IF(OR(Table5[[#This Row],[$ TB/year]]="",Table5[[#This Row],[Energy$yearPerTB]]=""),"",Table5[[#This Row],[$ TB/year]]+Table5[[#This Row],[Energy$yearPerTB]])</f>
        <v>7.685140800000001</v>
      </c>
      <c r="AC26" s="156">
        <v>20</v>
      </c>
      <c r="AD26" s="157">
        <v>36</v>
      </c>
      <c r="AE26" s="103" t="s">
        <v>37</v>
      </c>
    </row>
    <row r="27" spans="1:31" ht="18" thickBot="1" x14ac:dyDescent="0.3">
      <c r="A27" s="178">
        <v>43127</v>
      </c>
      <c r="B27" s="177" t="s">
        <v>15</v>
      </c>
      <c r="C27" s="179" t="s">
        <v>98</v>
      </c>
      <c r="D27" s="180" t="s">
        <v>110</v>
      </c>
      <c r="E27" s="191">
        <v>3.5</v>
      </c>
      <c r="F27" s="181">
        <v>14</v>
      </c>
      <c r="G27" s="182">
        <v>7200</v>
      </c>
      <c r="H27" s="137">
        <v>4.16</v>
      </c>
      <c r="I27" s="137">
        <v>8.5</v>
      </c>
      <c r="J27" s="183">
        <f>(Table5[[#This Row],[RPM]]/5400-1)</f>
        <v>0.33333333333333326</v>
      </c>
      <c r="K27" s="184">
        <v>223</v>
      </c>
      <c r="L27" s="177">
        <v>5</v>
      </c>
      <c r="M27" s="185">
        <v>600000</v>
      </c>
      <c r="N27" s="177">
        <v>550</v>
      </c>
      <c r="O27" s="185">
        <v>2500000</v>
      </c>
      <c r="P27" s="192">
        <v>1000000000000000</v>
      </c>
      <c r="Q27" s="193">
        <f>12*1.51+5*0.39</f>
        <v>20.07</v>
      </c>
      <c r="R27" s="137">
        <v>6.4</v>
      </c>
      <c r="S27" s="137">
        <v>5.2</v>
      </c>
      <c r="T27" s="187">
        <v>0.8</v>
      </c>
      <c r="U27" s="188">
        <f>(((Table5[[#This Row],[Watts Active]]*Power_On_Hours_Year/1000)*Active_Duty_Cycle)+((Table5[[#This Row],[Watts Idle]]*Power_On_Hours_Year/1000)*(100%-Active_Duty_Cycle)))*CostPerKWH</f>
        <v>5.960716800000001</v>
      </c>
      <c r="V27" s="143">
        <f>Table5[Energy$year]/Table5[[#This Row],[SizTB]]</f>
        <v>0.4257654857142858</v>
      </c>
      <c r="W27" s="189">
        <v>650</v>
      </c>
      <c r="X27" s="176">
        <f>IF(Table5[[#This Row],[Cost]],Table5[[#This Row],[Cost]]/Table5[[#This Row],[SizTB]]*Exchange_Rate,"")</f>
        <v>46.428571428571431</v>
      </c>
      <c r="Y27" s="150">
        <f>Table5[[#This Row],[Cost]]+((CompareWarrYrs-Table5[[#This Row],[Warranty]])*(Incremental_Warr_Yr*Table5[[#This Row],[Cost]]))*Exchange_Rate</f>
        <v>650</v>
      </c>
      <c r="Z27" s="149">
        <f>IF(Table5[[#This Row],[$+Warr]],Table5[[#This Row],[$+Warr]]/Table5[[#This Row],[SizTB]],"")</f>
        <v>46.428571428571431</v>
      </c>
      <c r="AA27" s="149">
        <f>IFERROR(Table5[[#This Row],[$PerTB]]/CompareWarrYrs,"")</f>
        <v>9.2857142857142865</v>
      </c>
      <c r="AB27" s="176">
        <f>IF(OR(Table5[[#This Row],[$ TB/year]]="",Table5[[#This Row],[Energy$yearPerTB]]=""),"",Table5[[#This Row],[$ TB/year]]+Table5[[#This Row],[Energy$yearPerTB]])</f>
        <v>9.7114797714285714</v>
      </c>
      <c r="AC27" s="165">
        <v>20</v>
      </c>
      <c r="AD27" s="166">
        <v>36</v>
      </c>
      <c r="AE27" s="194" t="s">
        <v>96</v>
      </c>
    </row>
    <row r="28" spans="1:31" ht="15.75" thickTop="1" x14ac:dyDescent="0.25">
      <c r="A28" s="104">
        <v>43064</v>
      </c>
      <c r="B28" s="7" t="s">
        <v>10</v>
      </c>
      <c r="C28" s="105" t="s">
        <v>134</v>
      </c>
      <c r="D28" s="82" t="s">
        <v>110</v>
      </c>
      <c r="E28" s="100">
        <v>3.5</v>
      </c>
      <c r="F28" s="139">
        <v>5</v>
      </c>
      <c r="G28" s="42">
        <v>5900</v>
      </c>
      <c r="H28" s="5"/>
      <c r="I28" s="5"/>
      <c r="J28" s="61">
        <f>(Table5[[#This Row],[RPM]]/5400-1)</f>
        <v>9.259259259259256E-2</v>
      </c>
      <c r="K28" s="45">
        <v>180</v>
      </c>
      <c r="L28" s="7">
        <v>3</v>
      </c>
      <c r="M28" s="106">
        <v>300000</v>
      </c>
      <c r="N28" s="7">
        <v>180</v>
      </c>
      <c r="O28" s="106">
        <v>800000</v>
      </c>
      <c r="P28" s="35">
        <f t="shared" ref="P28:P30" si="4">10^14</f>
        <v>100000000000000</v>
      </c>
      <c r="Q28" s="53">
        <v>24</v>
      </c>
      <c r="R28" s="5">
        <v>5.5</v>
      </c>
      <c r="S28" s="5">
        <v>3.5</v>
      </c>
      <c r="T28" s="108">
        <v>0.74</v>
      </c>
      <c r="U28" s="111">
        <f>(((Table5[[#This Row],[Watts Active]]*Power_On_Hours_Year/1000)*Active_Duty_Cycle)+((Table5[[#This Row],[Watts Idle]]*Power_On_Hours_Year/1000)*(100%-Active_Duty_Cycle)))*CostPerKWH</f>
        <v>4.2733080000000001</v>
      </c>
      <c r="V28" s="142">
        <f>Table5[Energy$year]/Table5[[#This Row],[SizTB]]</f>
        <v>0.85466160000000002</v>
      </c>
      <c r="W28" s="141">
        <v>212</v>
      </c>
      <c r="X28" s="6">
        <f>IF(Table5[[#This Row],[Cost]],Table5[[#This Row],[Cost]]/Table5[[#This Row],[SizTB]]*Exchange_Rate,"")</f>
        <v>42.4</v>
      </c>
      <c r="Y28" s="146">
        <f>Table5[[#This Row],[Cost]]+((CompareWarrYrs-Table5[[#This Row],[Warranty]])*(Incremental_Warr_Yr*Table5[[#This Row],[Cost]]))*Exchange_Rate</f>
        <v>258.64</v>
      </c>
      <c r="Z28" s="6">
        <f>IF(Table5[[#This Row],[$+Warr]],Table5[[#This Row],[$+Warr]]/Table5[[#This Row],[SizTB]],"")</f>
        <v>51.727999999999994</v>
      </c>
      <c r="AA28" s="6">
        <f>IFERROR(Table5[[#This Row],[$PerTB]]/CompareWarrYrs,"")</f>
        <v>10.345599999999999</v>
      </c>
      <c r="AB28" s="6">
        <f>IF(OR(Table5[[#This Row],[$ TB/year]]="",Table5[[#This Row],[Energy$yearPerTB]]=""),"",Table5[[#This Row],[$ TB/year]]+Table5[[#This Row],[Energy$yearPerTB]])</f>
        <v>11.200261599999999</v>
      </c>
      <c r="AC28" s="156"/>
      <c r="AD28" s="157"/>
      <c r="AE28" s="103"/>
    </row>
    <row r="29" spans="1:31" x14ac:dyDescent="0.25">
      <c r="A29" s="104">
        <v>43064</v>
      </c>
      <c r="B29" s="7" t="s">
        <v>10</v>
      </c>
      <c r="C29" s="105" t="s">
        <v>134</v>
      </c>
      <c r="D29" s="82" t="s">
        <v>110</v>
      </c>
      <c r="E29" s="100">
        <v>3.5</v>
      </c>
      <c r="F29" s="139">
        <v>6</v>
      </c>
      <c r="G29" s="42">
        <v>5900</v>
      </c>
      <c r="H29" s="5"/>
      <c r="I29" s="5"/>
      <c r="J29" s="61">
        <f>(Table5[[#This Row],[RPM]]/5400-1)</f>
        <v>9.259259259259256E-2</v>
      </c>
      <c r="K29" s="45">
        <v>190</v>
      </c>
      <c r="L29" s="7">
        <v>3</v>
      </c>
      <c r="M29" s="106">
        <v>300000</v>
      </c>
      <c r="N29" s="7">
        <v>180</v>
      </c>
      <c r="O29" s="106">
        <v>800000</v>
      </c>
      <c r="P29" s="35">
        <f t="shared" si="4"/>
        <v>100000000000000</v>
      </c>
      <c r="Q29" s="53">
        <v>24</v>
      </c>
      <c r="R29" s="5">
        <v>7.5</v>
      </c>
      <c r="S29" s="5">
        <v>5</v>
      </c>
      <c r="T29" s="108">
        <v>0.999</v>
      </c>
      <c r="U29" s="111">
        <f>(((Table5[[#This Row],[Watts Active]]*Power_On_Hours_Year/1000)*Active_Duty_Cycle)+((Table5[[#This Row],[Watts Idle]]*Power_On_Hours_Year/1000)*(100%-Active_Duty_Cycle)))*CostPerKWH</f>
        <v>6.0264600000000002</v>
      </c>
      <c r="V29" s="142">
        <f>Table5[Energy$year]/Table5[[#This Row],[SizTB]]</f>
        <v>1.00441</v>
      </c>
      <c r="W29" s="141">
        <v>194.79</v>
      </c>
      <c r="X29" s="6">
        <f>IF(Table5[[#This Row],[Cost]],Table5[[#This Row],[Cost]]/Table5[[#This Row],[SizTB]]*Exchange_Rate,"")</f>
        <v>32.464999999999996</v>
      </c>
      <c r="Y29" s="146">
        <f>Table5[[#This Row],[Cost]]+((CompareWarrYrs-Table5[[#This Row],[Warranty]])*(Incremental_Warr_Yr*Table5[[#This Row],[Cost]]))*Exchange_Rate</f>
        <v>237.6438</v>
      </c>
      <c r="Z29" s="6">
        <f>IF(Table5[[#This Row],[$+Warr]],Table5[[#This Row],[$+Warr]]/Table5[[#This Row],[SizTB]],"")</f>
        <v>39.607300000000002</v>
      </c>
      <c r="AA29" s="6">
        <f>IFERROR(Table5[[#This Row],[$PerTB]]/CompareWarrYrs,"")</f>
        <v>7.9214600000000006</v>
      </c>
      <c r="AB29" s="6">
        <f>IF(OR(Table5[[#This Row],[$ TB/year]]="",Table5[[#This Row],[Energy$yearPerTB]]=""),"",Table5[[#This Row],[$ TB/year]]+Table5[[#This Row],[Energy$yearPerTB]])</f>
        <v>8.9258699999999997</v>
      </c>
      <c r="AC29" s="156"/>
      <c r="AD29" s="157"/>
      <c r="AE29" s="103"/>
    </row>
    <row r="30" spans="1:31" x14ac:dyDescent="0.25">
      <c r="A30" s="104">
        <v>43066</v>
      </c>
      <c r="B30" s="7" t="s">
        <v>10</v>
      </c>
      <c r="C30" s="105" t="s">
        <v>134</v>
      </c>
      <c r="D30" s="82" t="s">
        <v>110</v>
      </c>
      <c r="E30" s="100">
        <v>3.5</v>
      </c>
      <c r="F30" s="139">
        <v>8</v>
      </c>
      <c r="G30" s="42">
        <v>5900</v>
      </c>
      <c r="H30" s="5">
        <v>5.5</v>
      </c>
      <c r="I30" s="5">
        <v>11.99</v>
      </c>
      <c r="J30" s="61">
        <f>(Table5[[#This Row],[RPM]]/5400-1)</f>
        <v>9.259259259259256E-2</v>
      </c>
      <c r="K30" s="45">
        <v>190</v>
      </c>
      <c r="L30" s="7">
        <v>3</v>
      </c>
      <c r="M30" s="106">
        <v>300000</v>
      </c>
      <c r="N30" s="7">
        <v>180</v>
      </c>
      <c r="O30" s="106">
        <v>800000</v>
      </c>
      <c r="P30" s="35">
        <f t="shared" si="4"/>
        <v>100000000000000</v>
      </c>
      <c r="Q30" s="53">
        <v>24</v>
      </c>
      <c r="R30" s="5">
        <v>7.5</v>
      </c>
      <c r="S30" s="5">
        <v>5</v>
      </c>
      <c r="T30" s="108">
        <v>0.999</v>
      </c>
      <c r="U30" s="111">
        <f>(((Table5[[#This Row],[Watts Active]]*Power_On_Hours_Year/1000)*Active_Duty_Cycle)+((Table5[[#This Row],[Watts Idle]]*Power_On_Hours_Year/1000)*(100%-Active_Duty_Cycle)))*CostPerKWH</f>
        <v>6.0264600000000002</v>
      </c>
      <c r="V30" s="142">
        <f>Table5[Energy$year]/Table5[[#This Row],[SizTB]]</f>
        <v>0.75330750000000002</v>
      </c>
      <c r="W30" s="141">
        <v>221.88</v>
      </c>
      <c r="X30" s="6">
        <f>IF(Table5[[#This Row],[Cost]],Table5[[#This Row],[Cost]]/Table5[[#This Row],[SizTB]]*Exchange_Rate,"")</f>
        <v>27.734999999999999</v>
      </c>
      <c r="Y30" s="146">
        <f>Table5[[#This Row],[Cost]]+((CompareWarrYrs-Table5[[#This Row],[Warranty]])*(Incremental_Warr_Yr*Table5[[#This Row],[Cost]]))*Exchange_Rate</f>
        <v>270.6936</v>
      </c>
      <c r="Z30" s="6">
        <f>IF(Table5[[#This Row],[$+Warr]],Table5[[#This Row],[$+Warr]]/Table5[[#This Row],[SizTB]],"")</f>
        <v>33.8367</v>
      </c>
      <c r="AA30" s="6">
        <f>IFERROR(Table5[[#This Row],[$PerTB]]/CompareWarrYrs,"")</f>
        <v>6.7673399999999999</v>
      </c>
      <c r="AB30" s="6">
        <f>IF(OR(Table5[[#This Row],[$ TB/year]]="",Table5[[#This Row],[Energy$yearPerTB]]=""),"",Table5[[#This Row],[$ TB/year]]+Table5[[#This Row],[Energy$yearPerTB]])</f>
        <v>7.5206474999999999</v>
      </c>
      <c r="AC30" s="156"/>
      <c r="AD30" s="157"/>
      <c r="AE30" s="103"/>
    </row>
    <row r="31" spans="1:31" x14ac:dyDescent="0.25">
      <c r="A31" s="1">
        <v>43320</v>
      </c>
      <c r="B31" t="s">
        <v>10</v>
      </c>
      <c r="C31" s="96" t="s">
        <v>11</v>
      </c>
      <c r="D31" s="27" t="s">
        <v>126</v>
      </c>
      <c r="E31" s="81">
        <v>2.5</v>
      </c>
      <c r="F31" s="69">
        <v>1</v>
      </c>
      <c r="G31" s="42">
        <v>5400</v>
      </c>
      <c r="H31" s="5"/>
      <c r="I31" s="5"/>
      <c r="J31" s="61">
        <f>(Table5[[#This Row],[RPM]]/5400-1)</f>
        <v>0</v>
      </c>
      <c r="K31" s="45">
        <v>140</v>
      </c>
      <c r="L31">
        <v>2</v>
      </c>
      <c r="M31" s="36">
        <v>600000</v>
      </c>
      <c r="O31" s="36"/>
      <c r="P31" s="35">
        <f t="shared" ref="P31:P39" si="5">10^14</f>
        <v>100000000000000</v>
      </c>
      <c r="Q31" s="53">
        <f>1*5</f>
        <v>5</v>
      </c>
      <c r="R31" s="5">
        <v>1.7</v>
      </c>
      <c r="S31" s="5">
        <v>0.45</v>
      </c>
      <c r="T31" s="108"/>
      <c r="U31" s="111">
        <f>(((Table5[[#This Row],[Watts Active]]*Power_On_Hours_Year/1000)*Active_Duty_Cycle)+((Table5[[#This Row],[Watts Idle]]*Power_On_Hours_Year/1000)*(100%-Active_Duty_Cycle)))*CostPerKWH</f>
        <v>0.76700400000000002</v>
      </c>
      <c r="V31" s="142">
        <f>Table5[Energy$year]/Table5[[#This Row],[SizTB]]</f>
        <v>0.76700400000000002</v>
      </c>
      <c r="W31" s="141">
        <v>41.99</v>
      </c>
      <c r="X31" s="6">
        <f>IF(Table5[[#This Row],[Cost]],Table5[[#This Row],[Cost]]/Table5[[#This Row],[SizTB]]*Exchange_Rate,"")</f>
        <v>41.99</v>
      </c>
      <c r="Y31" s="146">
        <f>Table5[[#This Row],[Cost]]+((CompareWarrYrs-Table5[[#This Row],[Warranty]])*(Incremental_Warr_Yr*Table5[[#This Row],[Cost]]))*Exchange_Rate</f>
        <v>55.846699999999998</v>
      </c>
      <c r="Z31" s="6">
        <f>IF(Table5[[#This Row],[$+Warr]],Table5[[#This Row],[$+Warr]]/Table5[[#This Row],[SizTB]],"")</f>
        <v>55.846699999999998</v>
      </c>
      <c r="AA31" s="6">
        <f>IFERROR(Table5[[#This Row],[$PerTB]]/CompareWarrYrs,"")</f>
        <v>11.16934</v>
      </c>
      <c r="AB31" s="6">
        <f>IF(OR(Table5[[#This Row],[$ TB/year]]="",Table5[[#This Row],[Energy$yearPerTB]]=""),"",Table5[[#This Row],[$ TB/year]]+Table5[[#This Row],[Energy$yearPerTB]])</f>
        <v>11.936344</v>
      </c>
      <c r="AC31" s="156">
        <v>22</v>
      </c>
      <c r="AD31" s="157">
        <v>24</v>
      </c>
      <c r="AE31" s="40"/>
    </row>
    <row r="32" spans="1:31" x14ac:dyDescent="0.25">
      <c r="A32" s="1">
        <v>43334</v>
      </c>
      <c r="B32" t="s">
        <v>10</v>
      </c>
      <c r="C32" s="96" t="s">
        <v>11</v>
      </c>
      <c r="D32" s="107" t="s">
        <v>126</v>
      </c>
      <c r="E32" s="81">
        <v>2.5</v>
      </c>
      <c r="F32" s="69">
        <v>2</v>
      </c>
      <c r="G32" s="42">
        <v>5400</v>
      </c>
      <c r="H32" s="5"/>
      <c r="I32" s="5"/>
      <c r="J32" s="61">
        <f>(Table5[[#This Row],[RPM]]/5400-1)</f>
        <v>0</v>
      </c>
      <c r="K32" s="45">
        <v>140</v>
      </c>
      <c r="L32">
        <v>2</v>
      </c>
      <c r="M32" s="36">
        <v>600000</v>
      </c>
      <c r="O32" s="36"/>
      <c r="P32" s="35">
        <f t="shared" si="5"/>
        <v>100000000000000</v>
      </c>
      <c r="Q32" s="53">
        <f>1*5</f>
        <v>5</v>
      </c>
      <c r="R32" s="5">
        <v>1.8</v>
      </c>
      <c r="S32" s="5">
        <v>0.5</v>
      </c>
      <c r="T32" s="108"/>
      <c r="U32" s="111">
        <f>(((Table5[[#This Row],[Watts Active]]*Power_On_Hours_Year/1000)*Active_Duty_Cycle)+((Table5[[#This Row],[Watts Idle]]*Power_On_Hours_Year/1000)*(100%-Active_Duty_Cycle)))*CostPerKWH</f>
        <v>0.83274720000000002</v>
      </c>
      <c r="V32" s="142">
        <f>Table5[Energy$year]/Table5[[#This Row],[SizTB]]</f>
        <v>0.41637360000000001</v>
      </c>
      <c r="W32" s="141">
        <v>69.989999999999995</v>
      </c>
      <c r="X32" s="6">
        <f>IF(Table5[[#This Row],[Cost]],Table5[[#This Row],[Cost]]/Table5[[#This Row],[SizTB]]*Exchange_Rate,"")</f>
        <v>34.994999999999997</v>
      </c>
      <c r="Y32" s="146">
        <f>Table5[[#This Row],[Cost]]+((CompareWarrYrs-Table5[[#This Row],[Warranty]])*(Incremental_Warr_Yr*Table5[[#This Row],[Cost]]))*Exchange_Rate</f>
        <v>93.086699999999993</v>
      </c>
      <c r="Z32" s="6">
        <f>IF(Table5[[#This Row],[$+Warr]],Table5[[#This Row],[$+Warr]]/Table5[[#This Row],[SizTB]],"")</f>
        <v>46.543349999999997</v>
      </c>
      <c r="AA32" s="6">
        <f>IFERROR(Table5[[#This Row],[$PerTB]]/CompareWarrYrs,"")</f>
        <v>9.3086699999999993</v>
      </c>
      <c r="AB32" s="6">
        <f>IF(OR(Table5[[#This Row],[$ TB/year]]="",Table5[[#This Row],[Energy$yearPerTB]]=""),"",Table5[[#This Row],[$ TB/year]]+Table5[[#This Row],[Energy$yearPerTB]])</f>
        <v>9.7250435999999993</v>
      </c>
      <c r="AC32" s="156">
        <v>24</v>
      </c>
      <c r="AD32" s="157">
        <v>26</v>
      </c>
      <c r="AE32" s="40"/>
    </row>
    <row r="33" spans="1:31" x14ac:dyDescent="0.25">
      <c r="A33" s="1">
        <v>43114</v>
      </c>
      <c r="B33" t="s">
        <v>10</v>
      </c>
      <c r="C33" s="96" t="s">
        <v>11</v>
      </c>
      <c r="D33" s="107" t="s">
        <v>126</v>
      </c>
      <c r="E33" s="81">
        <v>2.5</v>
      </c>
      <c r="F33" s="69">
        <v>3</v>
      </c>
      <c r="G33" s="42">
        <v>5400</v>
      </c>
      <c r="H33" s="5"/>
      <c r="I33" s="5"/>
      <c r="J33" s="61">
        <f>(Table5[[#This Row],[RPM]]/5400-1)</f>
        <v>0</v>
      </c>
      <c r="K33" s="45">
        <v>140</v>
      </c>
      <c r="L33">
        <v>2</v>
      </c>
      <c r="M33" s="36">
        <v>600000</v>
      </c>
      <c r="O33" s="36"/>
      <c r="P33" s="35">
        <f t="shared" si="5"/>
        <v>100000000000000</v>
      </c>
      <c r="Q33" s="53">
        <f>1.2*5</f>
        <v>6</v>
      </c>
      <c r="R33" s="5">
        <v>2.1</v>
      </c>
      <c r="S33" s="5">
        <v>1.1000000000000001</v>
      </c>
      <c r="T33" s="108"/>
      <c r="U33" s="111">
        <f>(((Table5[[#This Row],[Watts Active]]*Power_On_Hours_Year/1000)*Active_Duty_Cycle)+((Table5[[#This Row],[Watts Idle]]*Power_On_Hours_Year/1000)*(100%-Active_Duty_Cycle)))*CostPerKWH</f>
        <v>1.4244360000000003</v>
      </c>
      <c r="V33" s="142">
        <f>Table5[Energy$year]/Table5[[#This Row],[SizTB]]</f>
        <v>0.47481200000000007</v>
      </c>
      <c r="W33" s="141">
        <v>129.99</v>
      </c>
      <c r="X33" s="6">
        <f>IF(Table5[[#This Row],[Cost]],Table5[[#This Row],[Cost]]/Table5[[#This Row],[SizTB]]*Exchange_Rate,"")</f>
        <v>43.330000000000005</v>
      </c>
      <c r="Y33" s="146">
        <f>Table5[[#This Row],[Cost]]+((CompareWarrYrs-Table5[[#This Row],[Warranty]])*(Incremental_Warr_Yr*Table5[[#This Row],[Cost]]))*Exchange_Rate</f>
        <v>172.88670000000002</v>
      </c>
      <c r="Z33" s="6">
        <f>IF(Table5[[#This Row],[$+Warr]],Table5[[#This Row],[$+Warr]]/Table5[[#This Row],[SizTB]],"")</f>
        <v>57.628900000000009</v>
      </c>
      <c r="AA33" s="6">
        <f>IFERROR(Table5[[#This Row],[$PerTB]]/CompareWarrYrs,"")</f>
        <v>11.525780000000001</v>
      </c>
      <c r="AB33" s="6">
        <f>IF(OR(Table5[[#This Row],[$ TB/year]]="",Table5[[#This Row],[Energy$yearPerTB]]=""),"",Table5[[#This Row],[$ TB/year]]+Table5[[#This Row],[Energy$yearPerTB]])</f>
        <v>12.000592000000001</v>
      </c>
      <c r="AC33" s="156">
        <v>26</v>
      </c>
      <c r="AD33" s="157">
        <v>27</v>
      </c>
      <c r="AE33" s="40"/>
    </row>
    <row r="34" spans="1:31" x14ac:dyDescent="0.25">
      <c r="A34" s="1">
        <v>43103</v>
      </c>
      <c r="B34" t="s">
        <v>10</v>
      </c>
      <c r="C34" s="96" t="s">
        <v>11</v>
      </c>
      <c r="D34" s="107" t="s">
        <v>126</v>
      </c>
      <c r="E34" s="81">
        <v>2.5</v>
      </c>
      <c r="F34" s="69">
        <v>4</v>
      </c>
      <c r="G34" s="42">
        <v>5400</v>
      </c>
      <c r="H34" s="5"/>
      <c r="I34" s="5"/>
      <c r="J34" s="61">
        <f>(Table5[[#This Row],[RPM]]/5400-1)</f>
        <v>0</v>
      </c>
      <c r="K34" s="45">
        <v>140</v>
      </c>
      <c r="L34">
        <v>2</v>
      </c>
      <c r="M34" s="36">
        <v>600000</v>
      </c>
      <c r="O34" s="36"/>
      <c r="P34" s="35">
        <f t="shared" si="5"/>
        <v>100000000000000</v>
      </c>
      <c r="Q34" s="53">
        <f>1.2*5</f>
        <v>6</v>
      </c>
      <c r="R34" s="5">
        <v>2.1</v>
      </c>
      <c r="S34" s="5">
        <v>1.1000000000000001</v>
      </c>
      <c r="T34" s="108"/>
      <c r="U34" s="111">
        <f>(((Table5[[#This Row],[Watts Active]]*Power_On_Hours_Year/1000)*Active_Duty_Cycle)+((Table5[[#This Row],[Watts Idle]]*Power_On_Hours_Year/1000)*(100%-Active_Duty_Cycle)))*CostPerKWH</f>
        <v>1.4244360000000003</v>
      </c>
      <c r="V34" s="142">
        <f>Table5[Energy$year]/Table5[[#This Row],[SizTB]]</f>
        <v>0.35610900000000006</v>
      </c>
      <c r="W34" s="141">
        <v>157.09</v>
      </c>
      <c r="X34" s="6">
        <f>IF(Table5[[#This Row],[Cost]],Table5[[#This Row],[Cost]]/Table5[[#This Row],[SizTB]]*Exchange_Rate,"")</f>
        <v>39.272500000000001</v>
      </c>
      <c r="Y34" s="146">
        <f>Table5[[#This Row],[Cost]]+((CompareWarrYrs-Table5[[#This Row],[Warranty]])*(Incremental_Warr_Yr*Table5[[#This Row],[Cost]]))*Exchange_Rate</f>
        <v>208.92970000000003</v>
      </c>
      <c r="Z34" s="6">
        <f>IF(Table5[[#This Row],[$+Warr]],Table5[[#This Row],[$+Warr]]/Table5[[#This Row],[SizTB]],"")</f>
        <v>52.232425000000006</v>
      </c>
      <c r="AA34" s="6">
        <f>IFERROR(Table5[[#This Row],[$PerTB]]/CompareWarrYrs,"")</f>
        <v>10.446485000000001</v>
      </c>
      <c r="AB34" s="6">
        <f>IF(OR(Table5[[#This Row],[$ TB/year]]="",Table5[[#This Row],[Energy$yearPerTB]]=""),"",Table5[[#This Row],[$ TB/year]]+Table5[[#This Row],[Energy$yearPerTB]])</f>
        <v>10.802594000000001</v>
      </c>
      <c r="AC34" s="156">
        <v>26</v>
      </c>
      <c r="AD34" s="157">
        <v>27</v>
      </c>
      <c r="AE34" s="40"/>
    </row>
    <row r="35" spans="1:31" x14ac:dyDescent="0.25">
      <c r="A35" s="1">
        <v>43114</v>
      </c>
      <c r="B35" t="s">
        <v>10</v>
      </c>
      <c r="C35" s="96" t="s">
        <v>11</v>
      </c>
      <c r="D35" s="107" t="s">
        <v>126</v>
      </c>
      <c r="E35" s="81">
        <v>2.5</v>
      </c>
      <c r="F35" s="69">
        <v>5</v>
      </c>
      <c r="G35" s="42">
        <v>5400</v>
      </c>
      <c r="H35" s="5"/>
      <c r="I35" s="5"/>
      <c r="J35" s="61">
        <f>(Table5[[#This Row],[RPM]]/5400-1)</f>
        <v>0</v>
      </c>
      <c r="K35" s="45">
        <v>140</v>
      </c>
      <c r="L35">
        <v>2</v>
      </c>
      <c r="M35" s="36">
        <v>600000</v>
      </c>
      <c r="O35" s="36"/>
      <c r="P35" s="35">
        <f t="shared" si="5"/>
        <v>100000000000000</v>
      </c>
      <c r="Q35" s="53">
        <f>1.2*5</f>
        <v>6</v>
      </c>
      <c r="R35" s="5">
        <v>2.1</v>
      </c>
      <c r="S35" s="5">
        <v>1.1000000000000001</v>
      </c>
      <c r="T35" s="108"/>
      <c r="U35" s="111">
        <f>(((Table5[[#This Row],[Watts Active]]*Power_On_Hours_Year/1000)*Active_Duty_Cycle)+((Table5[[#This Row],[Watts Idle]]*Power_On_Hours_Year/1000)*(100%-Active_Duty_Cycle)))*CostPerKWH</f>
        <v>1.4244360000000003</v>
      </c>
      <c r="V35" s="142">
        <f>Table5[Energy$year]/Table5[[#This Row],[SizTB]]</f>
        <v>0.28488720000000006</v>
      </c>
      <c r="W35" s="141">
        <v>196.22</v>
      </c>
      <c r="X35" s="6">
        <f>IF(Table5[[#This Row],[Cost]],Table5[[#This Row],[Cost]]/Table5[[#This Row],[SizTB]]*Exchange_Rate,"")</f>
        <v>39.244</v>
      </c>
      <c r="Y35" s="146">
        <f>Table5[[#This Row],[Cost]]+((CompareWarrYrs-Table5[[#This Row],[Warranty]])*(Incremental_Warr_Yr*Table5[[#This Row],[Cost]]))*Exchange_Rate</f>
        <v>260.9726</v>
      </c>
      <c r="Z35" s="6">
        <f>IF(Table5[[#This Row],[$+Warr]],Table5[[#This Row],[$+Warr]]/Table5[[#This Row],[SizTB]],"")</f>
        <v>52.194519999999997</v>
      </c>
      <c r="AA35" s="6">
        <f>IFERROR(Table5[[#This Row],[$PerTB]]/CompareWarrYrs,"")</f>
        <v>10.438903999999999</v>
      </c>
      <c r="AB35" s="6">
        <f>IF(OR(Table5[[#This Row],[$ TB/year]]="",Table5[[#This Row],[Energy$yearPerTB]]=""),"",Table5[[#This Row],[$ TB/year]]+Table5[[#This Row],[Energy$yearPerTB]])</f>
        <v>10.723791199999999</v>
      </c>
      <c r="AC35" s="156">
        <v>26</v>
      </c>
      <c r="AD35" s="157">
        <v>27</v>
      </c>
      <c r="AE35" s="40"/>
    </row>
    <row r="36" spans="1:31" x14ac:dyDescent="0.25">
      <c r="A36" s="1">
        <v>43319</v>
      </c>
      <c r="B36" t="s">
        <v>10</v>
      </c>
      <c r="C36" s="96" t="s">
        <v>11</v>
      </c>
      <c r="D36" s="27" t="s">
        <v>127</v>
      </c>
      <c r="E36" s="81">
        <v>3.5</v>
      </c>
      <c r="F36" s="69">
        <v>1</v>
      </c>
      <c r="G36" s="42">
        <v>7200</v>
      </c>
      <c r="H36" s="5">
        <v>4.16</v>
      </c>
      <c r="I36" s="5">
        <v>9.5</v>
      </c>
      <c r="J36" s="61">
        <f>(Table5[[#This Row],[RPM]]/5400-1)</f>
        <v>0.33333333333333326</v>
      </c>
      <c r="K36" s="45">
        <v>156</v>
      </c>
      <c r="L36">
        <v>2</v>
      </c>
      <c r="M36" s="36">
        <v>300000</v>
      </c>
      <c r="N36">
        <v>55</v>
      </c>
      <c r="O36" s="36"/>
      <c r="P36" s="35">
        <f t="shared" si="5"/>
        <v>100000000000000</v>
      </c>
      <c r="Q36" s="53">
        <v>24</v>
      </c>
      <c r="R36" s="5">
        <v>5.3</v>
      </c>
      <c r="S36" s="5">
        <v>4.5999999999999996</v>
      </c>
      <c r="T36" s="108">
        <v>0.94</v>
      </c>
      <c r="U36" s="111">
        <f>(((Table5[[#This Row],[Watts Active]]*Power_On_Hours_Year/1000)*Active_Duty_Cycle)+((Table5[[#This Row],[Watts Idle]]*Power_On_Hours_Year/1000)*(100%-Active_Duty_Cycle)))*CostPerKWH</f>
        <v>5.1937128000000001</v>
      </c>
      <c r="V36" s="142">
        <f>Table5[Energy$year]/Table5[[#This Row],[SizTB]]</f>
        <v>5.1937128000000001</v>
      </c>
      <c r="W36" s="141">
        <v>39.99</v>
      </c>
      <c r="X36" s="6">
        <f>IF(Table5[[#This Row],[Cost]],Table5[[#This Row],[Cost]]/Table5[[#This Row],[SizTB]]*Exchange_Rate,"")</f>
        <v>39.99</v>
      </c>
      <c r="Y36" s="146">
        <f>Table5[[#This Row],[Cost]]+((CompareWarrYrs-Table5[[#This Row],[Warranty]])*(Incremental_Warr_Yr*Table5[[#This Row],[Cost]]))*Exchange_Rate</f>
        <v>53.186700000000002</v>
      </c>
      <c r="Z36" s="6">
        <f>IF(Table5[[#This Row],[$+Warr]],Table5[[#This Row],[$+Warr]]/Table5[[#This Row],[SizTB]],"")</f>
        <v>53.186700000000002</v>
      </c>
      <c r="AA36" s="6">
        <f>IFERROR(Table5[[#This Row],[$PerTB]]/CompareWarrYrs,"")</f>
        <v>10.63734</v>
      </c>
      <c r="AB36" s="6">
        <f>IF(OR(Table5[[#This Row],[$ TB/year]]="",Table5[[#This Row],[Energy$yearPerTB]]=""),"",Table5[[#This Row],[$ TB/year]]+Table5[[#This Row],[Energy$yearPerTB]])</f>
        <v>15.8310528</v>
      </c>
      <c r="AC36" s="156">
        <v>24</v>
      </c>
      <c r="AD36" s="157">
        <v>25</v>
      </c>
      <c r="AE36" s="40"/>
    </row>
    <row r="37" spans="1:31" x14ac:dyDescent="0.25">
      <c r="A37" s="1">
        <v>43306</v>
      </c>
      <c r="B37" t="s">
        <v>10</v>
      </c>
      <c r="C37" s="96" t="s">
        <v>11</v>
      </c>
      <c r="D37" s="107" t="s">
        <v>127</v>
      </c>
      <c r="E37" s="81">
        <v>3.5</v>
      </c>
      <c r="F37" s="69">
        <v>2</v>
      </c>
      <c r="G37" s="42">
        <v>7200</v>
      </c>
      <c r="H37" s="5">
        <v>6</v>
      </c>
      <c r="I37" s="5">
        <v>15</v>
      </c>
      <c r="J37" s="61">
        <f>(Table5[[#This Row],[RPM]]/5400-1)</f>
        <v>0.33333333333333326</v>
      </c>
      <c r="K37" s="45">
        <v>190</v>
      </c>
      <c r="L37">
        <v>2</v>
      </c>
      <c r="M37" s="36">
        <v>600000</v>
      </c>
      <c r="N37">
        <v>55</v>
      </c>
      <c r="O37" s="36"/>
      <c r="P37" s="35">
        <f t="shared" si="5"/>
        <v>100000000000000</v>
      </c>
      <c r="Q37" s="53">
        <f>2.5*12</f>
        <v>30</v>
      </c>
      <c r="R37" s="5">
        <v>8</v>
      </c>
      <c r="S37" s="5">
        <v>5.4</v>
      </c>
      <c r="T37" s="108">
        <v>0.75</v>
      </c>
      <c r="U37" s="111">
        <f>(((Table5[[#This Row],[Watts Active]]*Power_On_Hours_Year/1000)*Active_Duty_Cycle)+((Table5[[#This Row],[Watts Idle]]*Power_On_Hours_Year/1000)*(100%-Active_Duty_Cycle)))*CostPerKWH</f>
        <v>6.486662400000001</v>
      </c>
      <c r="V37" s="142">
        <f>Table5[Energy$year]/Table5[[#This Row],[SizTB]]</f>
        <v>3.2433312000000005</v>
      </c>
      <c r="W37" s="141">
        <v>53.99</v>
      </c>
      <c r="X37" s="6">
        <f>IF(Table5[[#This Row],[Cost]],Table5[[#This Row],[Cost]]/Table5[[#This Row],[SizTB]]*Exchange_Rate,"")</f>
        <v>26.995000000000001</v>
      </c>
      <c r="Y37" s="146">
        <f>Table5[[#This Row],[Cost]]+((CompareWarrYrs-Table5[[#This Row],[Warranty]])*(Incremental_Warr_Yr*Table5[[#This Row],[Cost]]))*Exchange_Rate</f>
        <v>71.806700000000006</v>
      </c>
      <c r="Z37" s="6">
        <f>IF(Table5[[#This Row],[$+Warr]],Table5[[#This Row],[$+Warr]]/Table5[[#This Row],[SizTB]],"")</f>
        <v>35.903350000000003</v>
      </c>
      <c r="AA37" s="6">
        <f>IFERROR(Table5[[#This Row],[$PerTB]]/CompareWarrYrs,"")</f>
        <v>7.180670000000001</v>
      </c>
      <c r="AB37" s="6">
        <f>IF(OR(Table5[[#This Row],[$ TB/year]]="",Table5[[#This Row],[Energy$yearPerTB]]=""),"",Table5[[#This Row],[$ TB/year]]+Table5[[#This Row],[Energy$yearPerTB]])</f>
        <v>10.424001200000001</v>
      </c>
      <c r="AC37" s="156">
        <f>2.1*10</f>
        <v>21</v>
      </c>
      <c r="AD37" s="157">
        <f>2.3*10</f>
        <v>23</v>
      </c>
      <c r="AE37" s="167"/>
    </row>
    <row r="38" spans="1:31" x14ac:dyDescent="0.25">
      <c r="A38" s="1">
        <v>43320</v>
      </c>
      <c r="B38" t="s">
        <v>10</v>
      </c>
      <c r="C38" s="96" t="s">
        <v>11</v>
      </c>
      <c r="D38" s="107" t="s">
        <v>127</v>
      </c>
      <c r="E38" s="81">
        <v>3.5</v>
      </c>
      <c r="F38" s="69">
        <v>3</v>
      </c>
      <c r="G38" s="42">
        <v>7200</v>
      </c>
      <c r="H38" s="5">
        <v>6</v>
      </c>
      <c r="I38" s="5">
        <v>15</v>
      </c>
      <c r="J38" s="61">
        <f>(Table5[[#This Row],[RPM]]/5400-1)</f>
        <v>0.33333333333333326</v>
      </c>
      <c r="K38" s="45">
        <v>185</v>
      </c>
      <c r="L38">
        <v>2</v>
      </c>
      <c r="M38" s="36">
        <v>600000</v>
      </c>
      <c r="N38">
        <v>55</v>
      </c>
      <c r="O38" s="36"/>
      <c r="P38" s="35">
        <f t="shared" si="5"/>
        <v>100000000000000</v>
      </c>
      <c r="Q38" s="53">
        <f>2.5*12</f>
        <v>30</v>
      </c>
      <c r="R38" s="5">
        <v>8</v>
      </c>
      <c r="S38" s="5">
        <v>5.4</v>
      </c>
      <c r="T38" s="108">
        <v>0.75</v>
      </c>
      <c r="U38" s="111">
        <f>(((Table5[[#This Row],[Watts Active]]*Power_On_Hours_Year/1000)*Active_Duty_Cycle)+((Table5[[#This Row],[Watts Idle]]*Power_On_Hours_Year/1000)*(100%-Active_Duty_Cycle)))*CostPerKWH</f>
        <v>6.486662400000001</v>
      </c>
      <c r="V38" s="142">
        <f>Table5[Energy$year]/Table5[[#This Row],[SizTB]]</f>
        <v>2.1622208000000005</v>
      </c>
      <c r="W38" s="141">
        <v>69.989999999999995</v>
      </c>
      <c r="X38" s="6">
        <f>IF(Table5[[#This Row],[Cost]],Table5[[#This Row],[Cost]]/Table5[[#This Row],[SizTB]]*Exchange_Rate,"")</f>
        <v>23.33</v>
      </c>
      <c r="Y38" s="146">
        <f>Table5[[#This Row],[Cost]]+((CompareWarrYrs-Table5[[#This Row],[Warranty]])*(Incremental_Warr_Yr*Table5[[#This Row],[Cost]]))*Exchange_Rate</f>
        <v>93.086699999999993</v>
      </c>
      <c r="Z38" s="6">
        <f>IF(Table5[[#This Row],[$+Warr]],Table5[[#This Row],[$+Warr]]/Table5[[#This Row],[SizTB]],"")</f>
        <v>31.028899999999997</v>
      </c>
      <c r="AA38" s="6">
        <f>IFERROR(Table5[[#This Row],[$PerTB]]/CompareWarrYrs,"")</f>
        <v>6.205779999999999</v>
      </c>
      <c r="AB38" s="6">
        <f>IF(OR(Table5[[#This Row],[$ TB/year]]="",Table5[[#This Row],[Energy$yearPerTB]]=""),"",Table5[[#This Row],[$ TB/year]]+Table5[[#This Row],[Energy$yearPerTB]])</f>
        <v>8.368000799999999</v>
      </c>
      <c r="AC38" s="156">
        <f>2.4*10</f>
        <v>24</v>
      </c>
      <c r="AD38" s="157">
        <f>2.7*10</f>
        <v>27</v>
      </c>
      <c r="AE38" s="167"/>
    </row>
    <row r="39" spans="1:31" x14ac:dyDescent="0.25">
      <c r="A39" s="1">
        <v>43334</v>
      </c>
      <c r="B39" t="s">
        <v>10</v>
      </c>
      <c r="C39" s="96" t="s">
        <v>11</v>
      </c>
      <c r="D39" s="107" t="s">
        <v>127</v>
      </c>
      <c r="E39" s="81">
        <v>3.5</v>
      </c>
      <c r="F39" s="69">
        <v>4</v>
      </c>
      <c r="G39" s="42">
        <v>7200</v>
      </c>
      <c r="H39" s="5">
        <v>6</v>
      </c>
      <c r="I39" s="5">
        <v>15</v>
      </c>
      <c r="J39" s="61">
        <f>(Table5[[#This Row],[RPM]]/5400-1)</f>
        <v>0.33333333333333326</v>
      </c>
      <c r="K39" s="45">
        <v>190</v>
      </c>
      <c r="L39">
        <v>2</v>
      </c>
      <c r="M39" s="36">
        <v>600000</v>
      </c>
      <c r="N39">
        <v>55</v>
      </c>
      <c r="O39" s="36"/>
      <c r="P39" s="35">
        <f t="shared" si="5"/>
        <v>100000000000000</v>
      </c>
      <c r="Q39" s="53">
        <v>24</v>
      </c>
      <c r="R39" s="5">
        <v>5</v>
      </c>
      <c r="S39" s="5">
        <v>2.5</v>
      </c>
      <c r="T39" s="108">
        <v>0.25</v>
      </c>
      <c r="U39" s="111">
        <f>(((Table5[[#This Row],[Watts Active]]*Power_On_Hours_Year/1000)*Active_Duty_Cycle)+((Table5[[#This Row],[Watts Idle]]*Power_On_Hours_Year/1000)*(100%-Active_Duty_Cycle)))*CostPerKWH</f>
        <v>3.2871600000000001</v>
      </c>
      <c r="V39" s="142">
        <f>Table5[Energy$year]/Table5[[#This Row],[SizTB]]</f>
        <v>0.82179000000000002</v>
      </c>
      <c r="W39" s="141">
        <v>89.99</v>
      </c>
      <c r="X39" s="6">
        <f>IF(Table5[[#This Row],[Cost]],Table5[[#This Row],[Cost]]/Table5[[#This Row],[SizTB]]*Exchange_Rate,"")</f>
        <v>22.497499999999999</v>
      </c>
      <c r="Y39" s="146">
        <f>Table5[[#This Row],[Cost]]+((CompareWarrYrs-Table5[[#This Row],[Warranty]])*(Incremental_Warr_Yr*Table5[[#This Row],[Cost]]))*Exchange_Rate</f>
        <v>119.6867</v>
      </c>
      <c r="Z39" s="6">
        <f>IF(Table5[[#This Row],[$+Warr]],Table5[[#This Row],[$+Warr]]/Table5[[#This Row],[SizTB]],"")</f>
        <v>29.921675</v>
      </c>
      <c r="AA39" s="6">
        <f>IFERROR(Table5[[#This Row],[$PerTB]]/CompareWarrYrs,"")</f>
        <v>5.9843349999999997</v>
      </c>
      <c r="AB39" s="6">
        <f>IF(OR(Table5[[#This Row],[$ TB/year]]="",Table5[[#This Row],[Energy$yearPerTB]]=""),"",Table5[[#This Row],[$ TB/year]]+Table5[[#This Row],[Energy$yearPerTB]])</f>
        <v>6.8061249999999998</v>
      </c>
      <c r="AC39" s="156">
        <f>2.4*10</f>
        <v>24</v>
      </c>
      <c r="AD39" s="157">
        <f>2.7*10</f>
        <v>27</v>
      </c>
      <c r="AE39" s="40"/>
    </row>
    <row r="40" spans="1:31" x14ac:dyDescent="0.25">
      <c r="A40" s="1">
        <v>43314</v>
      </c>
      <c r="B40" t="s">
        <v>10</v>
      </c>
      <c r="C40" s="96" t="s">
        <v>11</v>
      </c>
      <c r="D40" s="107" t="s">
        <v>127</v>
      </c>
      <c r="E40" s="81">
        <v>3.5</v>
      </c>
      <c r="F40" s="69">
        <v>6</v>
      </c>
      <c r="G40" s="42">
        <v>7200</v>
      </c>
      <c r="H40" s="5">
        <v>6</v>
      </c>
      <c r="I40" s="5">
        <v>15</v>
      </c>
      <c r="J40" s="61">
        <f>(Table5[[#This Row],[RPM]]/5400-1)</f>
        <v>0.33333333333333326</v>
      </c>
      <c r="K40" s="45">
        <v>185</v>
      </c>
      <c r="L40">
        <v>2</v>
      </c>
      <c r="M40" s="36">
        <v>600000</v>
      </c>
      <c r="N40">
        <v>55</v>
      </c>
      <c r="O40" s="36"/>
      <c r="P40" s="35">
        <f>10^15</f>
        <v>1000000000000000</v>
      </c>
      <c r="Q40" s="53">
        <v>24</v>
      </c>
      <c r="R40" s="5">
        <v>5.3</v>
      </c>
      <c r="S40" s="5">
        <v>3.4</v>
      </c>
      <c r="T40" s="108">
        <v>0.25</v>
      </c>
      <c r="U40" s="111">
        <f>(((Table5[[#This Row],[Watts Active]]*Power_On_Hours_Year/1000)*Active_Duty_Cycle)+((Table5[[#This Row],[Watts Idle]]*Power_On_Hours_Year/1000)*(100%-Active_Duty_Cycle)))*CostPerKWH</f>
        <v>4.1418216000000001</v>
      </c>
      <c r="V40" s="142">
        <f>Table5[Energy$year]/Table5[[#This Row],[SizTB]]</f>
        <v>0.69030360000000002</v>
      </c>
      <c r="W40" s="117">
        <v>140.99</v>
      </c>
      <c r="X40" s="6">
        <f>IF(Table5[[#This Row],[Cost]],Table5[[#This Row],[Cost]]/Table5[[#This Row],[SizTB]]*Exchange_Rate,"")</f>
        <v>23.498333333333335</v>
      </c>
      <c r="Y40" s="146">
        <f>Table5[[#This Row],[Cost]]+((CompareWarrYrs-Table5[[#This Row],[Warranty]])*(Incremental_Warr_Yr*Table5[[#This Row],[Cost]]))</f>
        <v>187.51670000000001</v>
      </c>
      <c r="Z40" s="6">
        <f>IF(Table5[[#This Row],[$+Warr]],Table5[[#This Row],[$+Warr]]/Table5[[#This Row],[SizTB]],"")</f>
        <v>31.252783333333337</v>
      </c>
      <c r="AA40" s="6">
        <f>IFERROR(Table5[[#This Row],[$PerTB]]/CompareWarrYrs,"")</f>
        <v>6.2505566666666672</v>
      </c>
      <c r="AB40" s="6">
        <f>IF(OR(Table5[[#This Row],[$ TB/year]]="",Table5[[#This Row],[Energy$yearPerTB]]=""),"",Table5[[#This Row],[$ TB/year]]+Table5[[#This Row],[Energy$yearPerTB]])</f>
        <v>6.9408602666666672</v>
      </c>
      <c r="AC40" s="156">
        <f>2.5*10</f>
        <v>25</v>
      </c>
      <c r="AD40" s="157">
        <f>2.6*10</f>
        <v>26</v>
      </c>
      <c r="AE40" s="40"/>
    </row>
    <row r="41" spans="1:31" x14ac:dyDescent="0.25">
      <c r="A41" s="1">
        <v>43320</v>
      </c>
      <c r="B41" t="s">
        <v>10</v>
      </c>
      <c r="C41" s="96" t="s">
        <v>11</v>
      </c>
      <c r="D41" s="107" t="s">
        <v>127</v>
      </c>
      <c r="E41" s="81">
        <v>3.5</v>
      </c>
      <c r="F41" s="69">
        <v>8</v>
      </c>
      <c r="G41" s="42">
        <v>7200</v>
      </c>
      <c r="H41" s="5">
        <v>6</v>
      </c>
      <c r="I41" s="5">
        <v>15</v>
      </c>
      <c r="J41" s="61">
        <f>(Table5[[#This Row],[RPM]]/5400-1)</f>
        <v>0.33333333333333326</v>
      </c>
      <c r="K41" s="45">
        <v>190</v>
      </c>
      <c r="L41">
        <v>2</v>
      </c>
      <c r="M41" s="36">
        <v>600000</v>
      </c>
      <c r="N41">
        <v>55</v>
      </c>
      <c r="O41" s="36"/>
      <c r="P41" s="35">
        <f>10^15</f>
        <v>1000000000000000</v>
      </c>
      <c r="Q41" s="53">
        <v>24</v>
      </c>
      <c r="R41" s="5">
        <v>5.3</v>
      </c>
      <c r="S41" s="5">
        <v>3.4</v>
      </c>
      <c r="T41" s="108">
        <v>0.25</v>
      </c>
      <c r="U41" s="111">
        <f>(((Table5[[#This Row],[Watts Active]]*Power_On_Hours_Year/1000)*Active_Duty_Cycle)+((Table5[[#This Row],[Watts Idle]]*Power_On_Hours_Year/1000)*(100%-Active_Duty_Cycle)))*CostPerKWH</f>
        <v>4.1418216000000001</v>
      </c>
      <c r="V41" s="142">
        <f>Table5[Energy$year]/Table5[[#This Row],[SizTB]]</f>
        <v>0.51772770000000001</v>
      </c>
      <c r="W41" s="117">
        <v>186.99</v>
      </c>
      <c r="X41" s="6">
        <f>IF(Table5[[#This Row],[Cost]],Table5[[#This Row],[Cost]]/Table5[[#This Row],[SizTB]]*Exchange_Rate,"")</f>
        <v>23.373750000000001</v>
      </c>
      <c r="Y41" s="146">
        <f>Table5[[#This Row],[Cost]]+((CompareWarrYrs-Table5[[#This Row],[Warranty]])*(Incremental_Warr_Yr*Table5[[#This Row],[Cost]]))</f>
        <v>248.69670000000002</v>
      </c>
      <c r="Z41" s="6">
        <f>IF(Table5[[#This Row],[$+Warr]],Table5[[#This Row],[$+Warr]]/Table5[[#This Row],[SizTB]],"")</f>
        <v>31.087087500000003</v>
      </c>
      <c r="AA41" s="6">
        <f>IFERROR(Table5[[#This Row],[$PerTB]]/CompareWarrYrs,"")</f>
        <v>6.2174175000000007</v>
      </c>
      <c r="AB41" s="6">
        <f>IF(OR(Table5[[#This Row],[$ TB/year]]="",Table5[[#This Row],[Energy$yearPerTB]]=""),"",Table5[[#This Row],[$ TB/year]]+Table5[[#This Row],[Energy$yearPerTB]])</f>
        <v>6.7351452000000007</v>
      </c>
      <c r="AC41" s="156">
        <f>2.5*10</f>
        <v>25</v>
      </c>
      <c r="AD41" s="157">
        <f>2.6*10</f>
        <v>26</v>
      </c>
      <c r="AE41" s="40"/>
    </row>
    <row r="42" spans="1:31" x14ac:dyDescent="0.25">
      <c r="A42" s="1">
        <v>43298</v>
      </c>
      <c r="B42" t="s">
        <v>10</v>
      </c>
      <c r="C42" s="96" t="s">
        <v>18</v>
      </c>
      <c r="D42" s="27" t="s">
        <v>127</v>
      </c>
      <c r="E42" s="81">
        <v>3.5</v>
      </c>
      <c r="F42" s="69">
        <v>2</v>
      </c>
      <c r="G42" s="42">
        <v>7200</v>
      </c>
      <c r="H42" s="5">
        <v>4.16</v>
      </c>
      <c r="I42" s="5"/>
      <c r="J42" s="61">
        <f>(Table5[[#This Row],[RPM]]/5400-1)</f>
        <v>0.33333333333333326</v>
      </c>
      <c r="K42" s="45">
        <v>195</v>
      </c>
      <c r="L42">
        <v>5</v>
      </c>
      <c r="M42" s="36" t="s">
        <v>139</v>
      </c>
      <c r="N42">
        <v>180</v>
      </c>
      <c r="O42" s="36">
        <v>1200000</v>
      </c>
      <c r="P42" s="35">
        <v>1000000000000000</v>
      </c>
      <c r="Q42" s="53">
        <v>24</v>
      </c>
      <c r="R42" s="5">
        <v>6.7</v>
      </c>
      <c r="S42" s="5">
        <v>4.5</v>
      </c>
      <c r="T42" s="108">
        <v>0.8</v>
      </c>
      <c r="U42" s="111">
        <f>(((Table5[[#This Row],[Watts Active]]*Power_On_Hours_Year/1000)*Active_Duty_Cycle)+((Table5[[#This Row],[Watts Idle]]*Power_On_Hours_Year/1000)*(100%-Active_Duty_Cycle)))*CostPerKWH</f>
        <v>5.4128568000000001</v>
      </c>
      <c r="V42" s="142">
        <f>Table5[Energy$year]/Table5[[#This Row],[SizTB]]</f>
        <v>2.7064284000000001</v>
      </c>
      <c r="W42" s="141">
        <v>110.37</v>
      </c>
      <c r="X42" s="6">
        <f>IF(Table5[[#This Row],[Cost]],Table5[[#This Row],[Cost]]/Table5[[#This Row],[SizTB]]*Exchange_Rate,"")</f>
        <v>55.185000000000002</v>
      </c>
      <c r="Y42" s="146">
        <f>Table5[[#This Row],[Cost]]+((CompareWarrYrs-Table5[[#This Row],[Warranty]])*(Incremental_Warr_Yr*Table5[[#This Row],[Cost]]))*Exchange_Rate</f>
        <v>110.37</v>
      </c>
      <c r="Z42" s="6">
        <f>IF(Table5[[#This Row],[$+Warr]],Table5[[#This Row],[$+Warr]]/Table5[[#This Row],[SizTB]],"")</f>
        <v>55.185000000000002</v>
      </c>
      <c r="AA42" s="6">
        <f>IFERROR(Table5[[#This Row],[$PerTB]]/CompareWarrYrs,"")</f>
        <v>11.037000000000001</v>
      </c>
      <c r="AB42" s="6">
        <f>IF(OR(Table5[[#This Row],[$ TB/year]]="",Table5[[#This Row],[Energy$yearPerTB]]=""),"",Table5[[#This Row],[$ TB/year]]+Table5[[#This Row],[Energy$yearPerTB]])</f>
        <v>13.743428400000001</v>
      </c>
      <c r="AC42" s="156">
        <v>24</v>
      </c>
      <c r="AD42" s="157">
        <v>28</v>
      </c>
      <c r="AE42" s="40"/>
    </row>
    <row r="43" spans="1:31" x14ac:dyDescent="0.25">
      <c r="A43" s="1">
        <v>43298</v>
      </c>
      <c r="B43" t="s">
        <v>10</v>
      </c>
      <c r="C43" s="96" t="s">
        <v>18</v>
      </c>
      <c r="D43" s="107" t="s">
        <v>127</v>
      </c>
      <c r="E43" s="81">
        <v>3.5</v>
      </c>
      <c r="F43" s="69">
        <v>4</v>
      </c>
      <c r="G43" s="42">
        <v>7200</v>
      </c>
      <c r="H43" s="5">
        <v>4.16</v>
      </c>
      <c r="I43" s="5"/>
      <c r="J43" s="61">
        <f>(Table5[[#This Row],[RPM]]/5400-1)</f>
        <v>0.33333333333333326</v>
      </c>
      <c r="K43" s="45">
        <v>214</v>
      </c>
      <c r="L43">
        <v>5</v>
      </c>
      <c r="M43" s="36">
        <v>600000</v>
      </c>
      <c r="N43">
        <v>180</v>
      </c>
      <c r="O43" s="36">
        <v>1200000</v>
      </c>
      <c r="P43" s="35">
        <v>1000000000000000</v>
      </c>
      <c r="Q43" s="53">
        <v>24</v>
      </c>
      <c r="R43" s="5">
        <v>6.7</v>
      </c>
      <c r="S43" s="5">
        <v>6</v>
      </c>
      <c r="T43" s="108">
        <v>0.6</v>
      </c>
      <c r="U43" s="111">
        <f>(((Table5[[#This Row],[Watts Active]]*Power_On_Hours_Year/1000)*Active_Duty_Cycle)+((Table5[[#This Row],[Watts Idle]]*Power_On_Hours_Year/1000)*(100%-Active_Duty_Cycle)))*CostPerKWH</f>
        <v>6.7277208000000002</v>
      </c>
      <c r="V43" s="142">
        <f>Table5[Energy$year]/Table5[[#This Row],[SizTB]]</f>
        <v>1.6819302</v>
      </c>
      <c r="W43" s="141">
        <v>174.99</v>
      </c>
      <c r="X43" s="6">
        <f>IF(Table5[[#This Row],[Cost]],Table5[[#This Row],[Cost]]/Table5[[#This Row],[SizTB]]*Exchange_Rate,"")</f>
        <v>43.747500000000002</v>
      </c>
      <c r="Y43" s="146">
        <f>Table5[[#This Row],[Cost]]+((CompareWarrYrs-Table5[[#This Row],[Warranty]])*(Incremental_Warr_Yr*Table5[[#This Row],[Cost]]))*Exchange_Rate</f>
        <v>174.99</v>
      </c>
      <c r="Z43" s="6">
        <f>IF(Table5[[#This Row],[$+Warr]],Table5[[#This Row],[$+Warr]]/Table5[[#This Row],[SizTB]],"")</f>
        <v>43.747500000000002</v>
      </c>
      <c r="AA43" s="6">
        <f>IFERROR(Table5[[#This Row],[$PerTB]]/CompareWarrYrs,"")</f>
        <v>8.7495000000000012</v>
      </c>
      <c r="AB43" s="6">
        <f>IF(OR(Table5[[#This Row],[$ TB/year]]="",Table5[[#This Row],[Energy$yearPerTB]]=""),"",Table5[[#This Row],[$ TB/year]]+Table5[[#This Row],[Energy$yearPerTB]])</f>
        <v>10.431430200000001</v>
      </c>
      <c r="AC43" s="156">
        <v>30</v>
      </c>
      <c r="AD43" s="157">
        <v>34</v>
      </c>
      <c r="AE43" s="40"/>
    </row>
    <row r="44" spans="1:31" x14ac:dyDescent="0.25">
      <c r="A44" s="1">
        <v>43298</v>
      </c>
      <c r="B44" t="s">
        <v>10</v>
      </c>
      <c r="C44" s="96" t="s">
        <v>18</v>
      </c>
      <c r="D44" s="107" t="s">
        <v>127</v>
      </c>
      <c r="E44" s="81">
        <v>3.5</v>
      </c>
      <c r="F44" s="69">
        <v>6</v>
      </c>
      <c r="G44" s="42">
        <v>7200</v>
      </c>
      <c r="H44" s="5">
        <v>4.16</v>
      </c>
      <c r="I44" s="5"/>
      <c r="J44" s="61">
        <f>(Table5[[#This Row],[RPM]]/5400-1)</f>
        <v>0.33333333333333326</v>
      </c>
      <c r="K44" s="45">
        <v>214</v>
      </c>
      <c r="L44">
        <v>5</v>
      </c>
      <c r="M44" s="36">
        <v>600000</v>
      </c>
      <c r="N44">
        <v>300</v>
      </c>
      <c r="O44" s="36">
        <v>1200000</v>
      </c>
      <c r="P44" s="35">
        <v>1000000000000000</v>
      </c>
      <c r="Q44" s="53">
        <v>24</v>
      </c>
      <c r="R44" s="5">
        <v>9</v>
      </c>
      <c r="S44" s="5">
        <v>7.2</v>
      </c>
      <c r="T44" s="108">
        <v>0.6</v>
      </c>
      <c r="U44" s="111">
        <f>(((Table5[[#This Row],[Watts Active]]*Power_On_Hours_Year/1000)*Active_Duty_Cycle)+((Table5[[#This Row],[Watts Idle]]*Power_On_Hours_Year/1000)*(100%-Active_Duty_Cycle)))*CostPerKWH</f>
        <v>8.2836432000000002</v>
      </c>
      <c r="V44" s="142">
        <f>Table5[Energy$year]/Table5[[#This Row],[SizTB]]</f>
        <v>1.3806072</v>
      </c>
      <c r="W44" s="141">
        <v>157.99</v>
      </c>
      <c r="X44" s="6">
        <f>IF(Table5[[#This Row],[Cost]],Table5[[#This Row],[Cost]]/Table5[[#This Row],[SizTB]]*Exchange_Rate,"")</f>
        <v>26.331666666666667</v>
      </c>
      <c r="Y44" s="146">
        <f>Table5[[#This Row],[Cost]]+((CompareWarrYrs-Table5[[#This Row],[Warranty]])*(Incremental_Warr_Yr*Table5[[#This Row],[Cost]]))*Exchange_Rate</f>
        <v>157.99</v>
      </c>
      <c r="Z44" s="6">
        <f>IF(Table5[[#This Row],[$+Warr]],Table5[[#This Row],[$+Warr]]/Table5[[#This Row],[SizTB]],"")</f>
        <v>26.331666666666667</v>
      </c>
      <c r="AA44" s="6">
        <f>IFERROR(Table5[[#This Row],[$PerTB]]/CompareWarrYrs,"")</f>
        <v>5.2663333333333338</v>
      </c>
      <c r="AB44" s="6">
        <f>IF(OR(Table5[[#This Row],[$ TB/year]]="",Table5[[#This Row],[Energy$yearPerTB]]=""),"",Table5[[#This Row],[$ TB/year]]+Table5[[#This Row],[Energy$yearPerTB]])</f>
        <v>6.6469405333333338</v>
      </c>
      <c r="AC44" s="156">
        <v>30</v>
      </c>
      <c r="AD44" s="157">
        <v>34</v>
      </c>
      <c r="AE44" s="40"/>
    </row>
    <row r="45" spans="1:31" x14ac:dyDescent="0.25">
      <c r="A45" s="1">
        <v>43298</v>
      </c>
      <c r="B45" t="s">
        <v>10</v>
      </c>
      <c r="C45" s="96" t="s">
        <v>18</v>
      </c>
      <c r="D45" s="107" t="s">
        <v>127</v>
      </c>
      <c r="E45" s="81">
        <v>3.5</v>
      </c>
      <c r="F45" s="69">
        <v>8</v>
      </c>
      <c r="G45" s="42">
        <v>7200</v>
      </c>
      <c r="H45" s="5">
        <v>4.16</v>
      </c>
      <c r="I45" s="5"/>
      <c r="J45" s="61">
        <f>(Table5[[#This Row],[RPM]]/5400-1)</f>
        <v>0.33333333333333326</v>
      </c>
      <c r="K45" s="45">
        <v>210</v>
      </c>
      <c r="L45">
        <v>5</v>
      </c>
      <c r="M45" s="36">
        <v>300000</v>
      </c>
      <c r="N45">
        <v>300</v>
      </c>
      <c r="O45" s="36">
        <v>1000000</v>
      </c>
      <c r="P45" s="35">
        <v>1000000000000000</v>
      </c>
      <c r="Q45" s="53">
        <f>12*2</f>
        <v>24</v>
      </c>
      <c r="R45" s="5">
        <v>6.8</v>
      </c>
      <c r="S45" s="5">
        <v>4.42</v>
      </c>
      <c r="T45" s="108">
        <v>0.8</v>
      </c>
      <c r="U45" s="111">
        <f>(((Table5[[#This Row],[Watts Active]]*Power_On_Hours_Year/1000)*Active_Duty_Cycle)+((Table5[[#This Row],[Watts Idle]]*Power_On_Hours_Year/1000)*(100%-Active_Duty_Cycle)))*CostPerKWH</f>
        <v>5.3646451200000005</v>
      </c>
      <c r="V45" s="142">
        <f>Table5[Energy$year]/Table5[[#This Row],[SizTB]]</f>
        <v>0.67058064000000006</v>
      </c>
      <c r="W45" s="141">
        <v>272.63</v>
      </c>
      <c r="X45" s="6">
        <f>IF(Table5[[#This Row],[Cost]],Table5[[#This Row],[Cost]]/Table5[[#This Row],[SizTB]]*Exchange_Rate,"")</f>
        <v>34.078749999999999</v>
      </c>
      <c r="Y45" s="146">
        <f>Table5[[#This Row],[Cost]]+((CompareWarrYrs-Table5[[#This Row],[Warranty]])*(Incremental_Warr_Yr*Table5[[#This Row],[Cost]]))*Exchange_Rate</f>
        <v>272.63</v>
      </c>
      <c r="Z45" s="6">
        <f>IF(Table5[[#This Row],[$+Warr]],Table5[[#This Row],[$+Warr]]/Table5[[#This Row],[SizTB]],"")</f>
        <v>34.078749999999999</v>
      </c>
      <c r="AA45" s="6">
        <f>IFERROR(Table5[[#This Row],[$PerTB]]/CompareWarrYrs,"")</f>
        <v>6.8157499999999995</v>
      </c>
      <c r="AB45" s="6">
        <f>IF(OR(Table5[[#This Row],[$ TB/year]]="",Table5[[#This Row],[Energy$yearPerTB]]=""),"",Table5[[#This Row],[$ TB/year]]+Table5[[#This Row],[Energy$yearPerTB]])</f>
        <v>7.4863306399999994</v>
      </c>
      <c r="AC45" s="156">
        <v>30</v>
      </c>
      <c r="AD45" s="157">
        <v>34</v>
      </c>
      <c r="AE45" s="40"/>
    </row>
    <row r="46" spans="1:31" x14ac:dyDescent="0.25">
      <c r="A46" s="1">
        <v>43298</v>
      </c>
      <c r="B46" t="s">
        <v>10</v>
      </c>
      <c r="C46" s="96" t="s">
        <v>18</v>
      </c>
      <c r="D46" s="107" t="s">
        <v>127</v>
      </c>
      <c r="E46" s="81">
        <v>3.5</v>
      </c>
      <c r="F46" s="69">
        <v>10</v>
      </c>
      <c r="G46" s="42">
        <v>7200</v>
      </c>
      <c r="H46" s="5">
        <v>4.16</v>
      </c>
      <c r="I46" s="5"/>
      <c r="J46" s="61">
        <f>(Table5[[#This Row],[RPM]]/5400-1)</f>
        <v>0.33333333333333326</v>
      </c>
      <c r="K46" s="45">
        <v>210</v>
      </c>
      <c r="L46">
        <v>5</v>
      </c>
      <c r="M46" s="36">
        <v>300000</v>
      </c>
      <c r="N46">
        <v>300</v>
      </c>
      <c r="O46" s="36">
        <v>1000000</v>
      </c>
      <c r="P46" s="35">
        <v>1000000000000000</v>
      </c>
      <c r="Q46" s="53">
        <v>24</v>
      </c>
      <c r="R46" s="5">
        <v>7.8</v>
      </c>
      <c r="S46" s="5">
        <v>4.42</v>
      </c>
      <c r="T46" s="108">
        <v>0.8</v>
      </c>
      <c r="U46" s="111">
        <f>(((Table5[[#This Row],[Watts Active]]*Power_On_Hours_Year/1000)*Active_Duty_Cycle)+((Table5[[#This Row],[Watts Idle]]*Power_On_Hours_Year/1000)*(100%-Active_Duty_Cycle)))*CostPerKWH</f>
        <v>5.5837891200000005</v>
      </c>
      <c r="V46" s="142">
        <f>Table5[Energy$year]/Table5[[#This Row],[SizTB]]</f>
        <v>0.55837891200000001</v>
      </c>
      <c r="W46" s="141">
        <v>366.84</v>
      </c>
      <c r="X46" s="6">
        <f>IF(Table5[[#This Row],[Cost]],Table5[[#This Row],[Cost]]/Table5[[#This Row],[SizTB]]*Exchange_Rate,"")</f>
        <v>36.683999999999997</v>
      </c>
      <c r="Y46" s="146">
        <f>Table5[[#This Row],[Cost]]+((CompareWarrYrs-Table5[[#This Row],[Warranty]])*(Incremental_Warr_Yr*Table5[[#This Row],[Cost]]))*Exchange_Rate</f>
        <v>366.84</v>
      </c>
      <c r="Z46" s="6">
        <f>IF(Table5[[#This Row],[$+Warr]],Table5[[#This Row],[$+Warr]]/Table5[[#This Row],[SizTB]],"")</f>
        <v>36.683999999999997</v>
      </c>
      <c r="AA46" s="6">
        <f>IFERROR(Table5[[#This Row],[$PerTB]]/CompareWarrYrs,"")</f>
        <v>7.3367999999999993</v>
      </c>
      <c r="AB46" s="6">
        <f>IF(OR(Table5[[#This Row],[$ TB/year]]="",Table5[[#This Row],[Energy$yearPerTB]]=""),"",Table5[[#This Row],[$ TB/year]]+Table5[[#This Row],[Energy$yearPerTB]])</f>
        <v>7.8951789119999995</v>
      </c>
      <c r="AC46" s="156"/>
      <c r="AD46" s="157"/>
      <c r="AE46" s="40"/>
    </row>
    <row r="47" spans="1:31" x14ac:dyDescent="0.25">
      <c r="A47" s="1">
        <v>43190</v>
      </c>
      <c r="B47" t="s">
        <v>10</v>
      </c>
      <c r="C47" s="96" t="s">
        <v>18</v>
      </c>
      <c r="D47" s="107" t="s">
        <v>127</v>
      </c>
      <c r="E47" s="81">
        <v>3.5</v>
      </c>
      <c r="F47" s="69">
        <v>12</v>
      </c>
      <c r="G47" s="42">
        <v>7200</v>
      </c>
      <c r="H47" s="5">
        <v>4.16</v>
      </c>
      <c r="I47" s="5"/>
      <c r="J47" s="61">
        <f>(Table5[[#This Row],[RPM]]/5400-1)</f>
        <v>0.33333333333333326</v>
      </c>
      <c r="K47" s="45">
        <v>238</v>
      </c>
      <c r="L47">
        <v>5</v>
      </c>
      <c r="M47" s="36">
        <v>300000</v>
      </c>
      <c r="N47">
        <v>300</v>
      </c>
      <c r="O47" s="36">
        <v>1000000</v>
      </c>
      <c r="P47" s="35">
        <v>1000000000000000</v>
      </c>
      <c r="Q47" s="53">
        <v>24</v>
      </c>
      <c r="R47" s="5">
        <v>7.8</v>
      </c>
      <c r="S47" s="5">
        <v>4.83</v>
      </c>
      <c r="T47" s="108">
        <v>0.84</v>
      </c>
      <c r="U47" s="111">
        <f>(((Table5[[#This Row],[Watts Active]]*Power_On_Hours_Year/1000)*Active_Duty_Cycle)+((Table5[[#This Row],[Watts Idle]]*Power_On_Hours_Year/1000)*(100%-Active_Duty_Cycle)))*CostPerKWH</f>
        <v>5.9431852800000007</v>
      </c>
      <c r="V47" s="142">
        <f>Table5[Energy$year]/Table5[[#This Row],[SizTB]]</f>
        <v>0.49526544000000006</v>
      </c>
      <c r="W47" s="141">
        <v>439.99</v>
      </c>
      <c r="X47" s="6">
        <f>IF(Table5[[#This Row],[Cost]],Table5[[#This Row],[Cost]]/Table5[[#This Row],[SizTB]]*Exchange_Rate,"")</f>
        <v>36.665833333333332</v>
      </c>
      <c r="Y47" s="146">
        <f>Table5[[#This Row],[Cost]]+((CompareWarrYrs-Table5[[#This Row],[Warranty]])*(Incremental_Warr_Yr*Table5[[#This Row],[Cost]]))*Exchange_Rate</f>
        <v>439.99</v>
      </c>
      <c r="Z47" s="6">
        <f>IF(Table5[[#This Row],[$+Warr]],Table5[[#This Row],[$+Warr]]/Table5[[#This Row],[SizTB]],"")</f>
        <v>36.665833333333332</v>
      </c>
      <c r="AA47" s="6">
        <f>IFERROR(Table5[[#This Row],[$PerTB]]/CompareWarrYrs,"")</f>
        <v>7.3331666666666662</v>
      </c>
      <c r="AB47" s="6">
        <f>IF(OR(Table5[[#This Row],[$ TB/year]]="",Table5[[#This Row],[Energy$yearPerTB]]=""),"",Table5[[#This Row],[$ TB/year]]+Table5[[#This Row],[Energy$yearPerTB]])</f>
        <v>7.828432106666666</v>
      </c>
      <c r="AC47" s="156"/>
      <c r="AD47" s="157"/>
      <c r="AE47" s="40"/>
    </row>
    <row r="48" spans="1:31" x14ac:dyDescent="0.25">
      <c r="A48" s="1">
        <v>43114</v>
      </c>
      <c r="B48" t="s">
        <v>10</v>
      </c>
      <c r="C48" s="96" t="s">
        <v>147</v>
      </c>
      <c r="D48" s="107" t="s">
        <v>49</v>
      </c>
      <c r="E48" s="81">
        <v>3.5</v>
      </c>
      <c r="F48" s="69">
        <v>4</v>
      </c>
      <c r="G48" s="42">
        <v>7200</v>
      </c>
      <c r="H48" s="5">
        <v>4.16</v>
      </c>
      <c r="I48" s="5"/>
      <c r="J48" s="61">
        <f>(Table5[[#This Row],[RPM]]/5400-1)</f>
        <v>0.33333333333333326</v>
      </c>
      <c r="K48" s="45">
        <v>175</v>
      </c>
      <c r="L48">
        <v>5</v>
      </c>
      <c r="M48" s="36">
        <v>600000</v>
      </c>
      <c r="N48">
        <v>550</v>
      </c>
      <c r="O48" s="36">
        <v>2000000</v>
      </c>
      <c r="P48" s="35">
        <v>1000000000000000</v>
      </c>
      <c r="Q48" s="53">
        <f>12*2.6</f>
        <v>31.200000000000003</v>
      </c>
      <c r="R48" s="5">
        <v>11.27</v>
      </c>
      <c r="S48" s="5">
        <v>6.73</v>
      </c>
      <c r="T48" s="108"/>
      <c r="U48" s="111">
        <f>(((Table5[[#This Row],[Watts Active]]*Power_On_Hours_Year/1000)*Active_Duty_Cycle)+((Table5[[#This Row],[Watts Idle]]*Power_On_Hours_Year/1000)*(100%-Active_Duty_Cycle)))*CostPerKWH</f>
        <v>8.3691093600000013</v>
      </c>
      <c r="V48" s="142">
        <f>Table5[Energy$year]/Table5[[#This Row],[SizTB]]</f>
        <v>2.0922773400000003</v>
      </c>
      <c r="W48" s="117">
        <v>134.99</v>
      </c>
      <c r="X48" s="6">
        <f>IF(Table5[[#This Row],[Cost]],Table5[[#This Row],[Cost]]/Table5[[#This Row],[SizTB]]*Exchange_Rate,"")</f>
        <v>33.747500000000002</v>
      </c>
      <c r="Y48" s="146">
        <f>Table5[[#This Row],[Cost]]+((CompareWarrYrs-Table5[[#This Row],[Warranty]])*(Incremental_Warr_Yr*Table5[[#This Row],[Cost]]))</f>
        <v>134.99</v>
      </c>
      <c r="Z48" s="6">
        <f>IF(Table5[[#This Row],[$+Warr]],Table5[[#This Row],[$+Warr]]/Table5[[#This Row],[SizTB]],"")</f>
        <v>33.747500000000002</v>
      </c>
      <c r="AA48" s="6">
        <f>IFERROR(Table5[[#This Row],[$PerTB]]/CompareWarrYrs,"")</f>
        <v>6.7495000000000003</v>
      </c>
      <c r="AB48" s="6">
        <f>IF(OR(Table5[[#This Row],[$ TB/year]]="",Table5[[#This Row],[Energy$yearPerTB]]=""),"",Table5[[#This Row],[$ TB/year]]+Table5[[#This Row],[Energy$yearPerTB]])</f>
        <v>8.8417773400000002</v>
      </c>
      <c r="AC48" s="156"/>
      <c r="AD48" s="157"/>
      <c r="AE48" s="40"/>
    </row>
    <row r="49" spans="1:31" x14ac:dyDescent="0.25">
      <c r="A49" s="1">
        <v>43127</v>
      </c>
      <c r="B49" t="s">
        <v>10</v>
      </c>
      <c r="C49" s="96" t="s">
        <v>103</v>
      </c>
      <c r="D49" s="107" t="s">
        <v>49</v>
      </c>
      <c r="E49" s="81">
        <v>2.5</v>
      </c>
      <c r="F49" s="69">
        <v>1.2</v>
      </c>
      <c r="G49" s="42">
        <v>10500</v>
      </c>
      <c r="H49" s="5">
        <v>2.9</v>
      </c>
      <c r="I49" s="5"/>
      <c r="J49" s="61">
        <f>(Table5[[#This Row],[RPM]]/5400-1)</f>
        <v>0.94444444444444442</v>
      </c>
      <c r="K49" s="45">
        <v>270</v>
      </c>
      <c r="L49">
        <v>5</v>
      </c>
      <c r="M49" s="36"/>
      <c r="N49">
        <v>550</v>
      </c>
      <c r="O49" s="36">
        <v>2000000</v>
      </c>
      <c r="P49" s="35">
        <v>1E+16</v>
      </c>
      <c r="Q49" s="53">
        <f>5*0.91+12*1.44</f>
        <v>21.830000000000002</v>
      </c>
      <c r="R49" s="5">
        <v>8.75</v>
      </c>
      <c r="S49" s="5">
        <v>4.9000000000000004</v>
      </c>
      <c r="T49" s="108">
        <v>3.63</v>
      </c>
      <c r="U49" s="111">
        <f>(((Table5[[#This Row],[Watts Active]]*Power_On_Hours_Year/1000)*Active_Duty_Cycle)+((Table5[[#This Row],[Watts Idle]]*Power_On_Hours_Year/1000)*(100%-Active_Duty_Cycle)))*CostPerKWH</f>
        <v>6.2127324000000002</v>
      </c>
      <c r="V49" s="142">
        <f>Table5[Energy$year]/Table5[[#This Row],[SizTB]]</f>
        <v>5.1772770000000001</v>
      </c>
      <c r="W49" s="141">
        <v>295.95</v>
      </c>
      <c r="X49" s="6">
        <f>IF(Table5[[#This Row],[Cost]],Table5[[#This Row],[Cost]]/Table5[[#This Row],[SizTB]]*Exchange_Rate,"")</f>
        <v>246.625</v>
      </c>
      <c r="Y49" s="146">
        <f>Table5[[#This Row],[Cost]]+((CompareWarrYrs-Table5[[#This Row],[Warranty]])*(Incremental_Warr_Yr*Table5[[#This Row],[Cost]]))*Exchange_Rate</f>
        <v>295.95</v>
      </c>
      <c r="Z49" s="6">
        <f>IF(Table5[[#This Row],[$+Warr]],Table5[[#This Row],[$+Warr]]/Table5[[#This Row],[SizTB]],"")</f>
        <v>246.625</v>
      </c>
      <c r="AA49" s="6">
        <f>IFERROR(Table5[[#This Row],[$PerTB]]/CompareWarrYrs,"")</f>
        <v>49.325000000000003</v>
      </c>
      <c r="AB49" s="6">
        <f>IF(OR(Table5[[#This Row],[$ TB/year]]="",Table5[[#This Row],[Energy$yearPerTB]]=""),"",Table5[[#This Row],[$ TB/year]]+Table5[[#This Row],[Energy$yearPerTB]])</f>
        <v>54.502277000000007</v>
      </c>
      <c r="AC49" s="156">
        <v>31</v>
      </c>
      <c r="AD49" s="157"/>
      <c r="AE49" s="40" t="s">
        <v>95</v>
      </c>
    </row>
    <row r="50" spans="1:31" x14ac:dyDescent="0.25">
      <c r="A50" s="1">
        <v>43127</v>
      </c>
      <c r="B50" t="s">
        <v>10</v>
      </c>
      <c r="C50" s="96" t="s">
        <v>103</v>
      </c>
      <c r="D50" s="99" t="s">
        <v>49</v>
      </c>
      <c r="E50" s="81">
        <v>2.5</v>
      </c>
      <c r="F50" s="69">
        <v>1.8</v>
      </c>
      <c r="G50" s="42">
        <v>10500</v>
      </c>
      <c r="H50" s="5">
        <v>2.9</v>
      </c>
      <c r="I50" s="5"/>
      <c r="J50" s="61">
        <f>(Table5[[#This Row],[RPM]]/5400-1)</f>
        <v>0.94444444444444442</v>
      </c>
      <c r="K50" s="45">
        <v>270</v>
      </c>
      <c r="L50">
        <v>5</v>
      </c>
      <c r="M50" s="36"/>
      <c r="N50">
        <v>550</v>
      </c>
      <c r="O50" s="36">
        <v>2000000</v>
      </c>
      <c r="P50" s="35">
        <v>1E+16</v>
      </c>
      <c r="Q50" s="53">
        <f>5*0.91+12*1.42</f>
        <v>21.59</v>
      </c>
      <c r="R50" s="5">
        <v>6.95</v>
      </c>
      <c r="S50" s="5">
        <v>4.26</v>
      </c>
      <c r="T50" s="108">
        <v>4.2300000000000004</v>
      </c>
      <c r="U50" s="111">
        <f>(((Table5[[#This Row],[Watts Active]]*Power_On_Hours_Year/1000)*Active_Duty_Cycle)+((Table5[[#This Row],[Watts Idle]]*Power_On_Hours_Year/1000)*(100%-Active_Duty_Cycle)))*CostPerKWH</f>
        <v>5.2572645600000003</v>
      </c>
      <c r="V50" s="142">
        <f>Table5[Energy$year]/Table5[[#This Row],[SizTB]]</f>
        <v>2.9207025333333334</v>
      </c>
      <c r="W50" s="141">
        <v>379.99</v>
      </c>
      <c r="X50" s="6">
        <f>IF(Table5[[#This Row],[Cost]],Table5[[#This Row],[Cost]]/Table5[[#This Row],[SizTB]]*Exchange_Rate,"")</f>
        <v>211.10555555555555</v>
      </c>
      <c r="Y50" s="146">
        <f>Table5[[#This Row],[Cost]]+((CompareWarrYrs-Table5[[#This Row],[Warranty]])*(Incremental_Warr_Yr*Table5[[#This Row],[Cost]]))*Exchange_Rate</f>
        <v>379.99</v>
      </c>
      <c r="Z50" s="6">
        <f>IF(Table5[[#This Row],[$+Warr]],Table5[[#This Row],[$+Warr]]/Table5[[#This Row],[SizTB]],"")</f>
        <v>211.10555555555555</v>
      </c>
      <c r="AA50" s="6">
        <f>IFERROR(Table5[[#This Row],[$PerTB]]/CompareWarrYrs,"")</f>
        <v>42.221111111111114</v>
      </c>
      <c r="AB50" s="6">
        <f>IF(OR(Table5[[#This Row],[$ TB/year]]="",Table5[[#This Row],[Energy$yearPerTB]]=""),"",Table5[[#This Row],[$ TB/year]]+Table5[[#This Row],[Energy$yearPerTB]])</f>
        <v>45.141813644444447</v>
      </c>
      <c r="AC50" s="156">
        <v>31</v>
      </c>
      <c r="AD50" s="157"/>
      <c r="AE50" s="40" t="s">
        <v>95</v>
      </c>
    </row>
    <row r="51" spans="1:31" x14ac:dyDescent="0.25">
      <c r="A51" s="1">
        <v>43127</v>
      </c>
      <c r="B51" t="s">
        <v>10</v>
      </c>
      <c r="C51" s="96" t="s">
        <v>103</v>
      </c>
      <c r="D51" s="99" t="s">
        <v>49</v>
      </c>
      <c r="E51" s="81">
        <v>2.5</v>
      </c>
      <c r="F51" s="69">
        <v>2.4</v>
      </c>
      <c r="G51" s="42">
        <v>10500</v>
      </c>
      <c r="H51" s="5">
        <v>2.9</v>
      </c>
      <c r="I51" s="5"/>
      <c r="J51" s="61">
        <f>(Table5[[#This Row],[RPM]]/5400-1)</f>
        <v>0.94444444444444442</v>
      </c>
      <c r="K51" s="45">
        <v>270</v>
      </c>
      <c r="L51">
        <v>5</v>
      </c>
      <c r="M51" s="36"/>
      <c r="N51">
        <v>550</v>
      </c>
      <c r="O51" s="36">
        <v>2000000</v>
      </c>
      <c r="P51" s="35">
        <v>1E+16</v>
      </c>
      <c r="Q51" s="53">
        <f>5*0.91+12*1.54</f>
        <v>23.03</v>
      </c>
      <c r="R51" s="5">
        <v>8.57</v>
      </c>
      <c r="S51" s="5">
        <v>4.9000000000000004</v>
      </c>
      <c r="T51" s="108">
        <v>4.88</v>
      </c>
      <c r="U51" s="111">
        <f>(((Table5[[#This Row],[Watts Active]]*Power_On_Hours_Year/1000)*Active_Duty_Cycle)+((Table5[[#This Row],[Watts Idle]]*Power_On_Hours_Year/1000)*(100%-Active_Duty_Cycle)))*CostPerKWH</f>
        <v>6.1732864799999998</v>
      </c>
      <c r="V51" s="142">
        <f>Table5[Energy$year]/Table5[[#This Row],[SizTB]]</f>
        <v>2.5722027000000001</v>
      </c>
      <c r="W51" s="141">
        <v>484.57</v>
      </c>
      <c r="X51" s="6">
        <f>IF(Table5[[#This Row],[Cost]],Table5[[#This Row],[Cost]]/Table5[[#This Row],[SizTB]]*Exchange_Rate,"")</f>
        <v>201.90416666666667</v>
      </c>
      <c r="Y51" s="146">
        <f>Table5[[#This Row],[Cost]]+((CompareWarrYrs-Table5[[#This Row],[Warranty]])*(Incremental_Warr_Yr*Table5[[#This Row],[Cost]]))*Exchange_Rate</f>
        <v>484.57</v>
      </c>
      <c r="Z51" s="6">
        <f>IF(Table5[[#This Row],[$+Warr]],Table5[[#This Row],[$+Warr]]/Table5[[#This Row],[SizTB]],"")</f>
        <v>201.90416666666667</v>
      </c>
      <c r="AA51" s="6">
        <f>IFERROR(Table5[[#This Row],[$PerTB]]/CompareWarrYrs,"")</f>
        <v>40.380833333333335</v>
      </c>
      <c r="AB51" s="6">
        <f>IF(OR(Table5[[#This Row],[$ TB/year]]="",Table5[[#This Row],[Energy$yearPerTB]]=""),"",Table5[[#This Row],[$ TB/year]]+Table5[[#This Row],[Energy$yearPerTB]])</f>
        <v>42.953036033333333</v>
      </c>
      <c r="AC51" s="156">
        <v>31</v>
      </c>
      <c r="AD51" s="157"/>
      <c r="AE51" s="40" t="s">
        <v>95</v>
      </c>
    </row>
    <row r="52" spans="1:31" x14ac:dyDescent="0.25">
      <c r="A52" s="1">
        <v>43166</v>
      </c>
      <c r="B52" t="s">
        <v>10</v>
      </c>
      <c r="C52" s="96" t="s">
        <v>104</v>
      </c>
      <c r="D52" s="99" t="s">
        <v>49</v>
      </c>
      <c r="E52" s="81">
        <v>3.5</v>
      </c>
      <c r="F52" s="69">
        <v>0.9</v>
      </c>
      <c r="G52" s="42">
        <v>15000</v>
      </c>
      <c r="H52" s="5">
        <v>2</v>
      </c>
      <c r="I52" s="5"/>
      <c r="J52" s="61">
        <f>(Table5[[#This Row],[RPM]]/5400-1)</f>
        <v>1.7777777777777777</v>
      </c>
      <c r="K52" s="45">
        <v>215</v>
      </c>
      <c r="L52">
        <v>5</v>
      </c>
      <c r="M52" s="36"/>
      <c r="N52">
        <v>550</v>
      </c>
      <c r="O52" s="36">
        <v>2000000</v>
      </c>
      <c r="P52" s="35">
        <v>1E+16</v>
      </c>
      <c r="Q52" s="53"/>
      <c r="R52" s="5">
        <v>7.6</v>
      </c>
      <c r="S52" s="5">
        <v>5.7</v>
      </c>
      <c r="T52" s="108"/>
      <c r="U52" s="111">
        <f>(((Table5[[#This Row],[Watts Active]]*Power_On_Hours_Year/1000)*Active_Duty_Cycle)+((Table5[[#This Row],[Watts Idle]]*Power_On_Hours_Year/1000)*(100%-Active_Duty_Cycle)))*CostPerKWH</f>
        <v>6.6619776000000002</v>
      </c>
      <c r="V52" s="142">
        <f>Table5[Energy$year]/Table5[[#This Row],[SizTB]]</f>
        <v>7.4021973333333335</v>
      </c>
      <c r="W52" s="141">
        <v>416.96</v>
      </c>
      <c r="X52" s="6">
        <f>IF(Table5[[#This Row],[Cost]],Table5[[#This Row],[Cost]]/Table5[[#This Row],[SizTB]]*Exchange_Rate,"")</f>
        <v>463.28888888888883</v>
      </c>
      <c r="Y52" s="146">
        <f>Table5[[#This Row],[Cost]]+((CompareWarrYrs-Table5[[#This Row],[Warranty]])*(Incremental_Warr_Yr*Table5[[#This Row],[Cost]]))*Exchange_Rate</f>
        <v>416.96</v>
      </c>
      <c r="Z52" s="6">
        <f>IF(Table5[[#This Row],[$+Warr]],Table5[[#This Row],[$+Warr]]/Table5[[#This Row],[SizTB]],"")</f>
        <v>463.28888888888883</v>
      </c>
      <c r="AA52" s="6">
        <f>IFERROR(Table5[[#This Row],[$PerTB]]/CompareWarrYrs,"")</f>
        <v>92.657777777777767</v>
      </c>
      <c r="AB52" s="6">
        <f>IF(OR(Table5[[#This Row],[$ TB/year]]="",Table5[[#This Row],[Energy$yearPerTB]]=""),"",Table5[[#This Row],[$ TB/year]]+Table5[[#This Row],[Energy$yearPerTB]])</f>
        <v>100.0599751111111</v>
      </c>
      <c r="AC52" s="156"/>
      <c r="AD52" s="157"/>
      <c r="AE52" s="40" t="s">
        <v>44</v>
      </c>
    </row>
    <row r="53" spans="1:31" x14ac:dyDescent="0.25">
      <c r="A53" s="1">
        <v>43166</v>
      </c>
      <c r="B53" t="s">
        <v>10</v>
      </c>
      <c r="C53" s="96" t="s">
        <v>106</v>
      </c>
      <c r="D53" s="99" t="s">
        <v>110</v>
      </c>
      <c r="E53" s="81">
        <v>3.5</v>
      </c>
      <c r="F53" s="69">
        <v>8</v>
      </c>
      <c r="G53" s="42">
        <v>5900</v>
      </c>
      <c r="H53" s="5"/>
      <c r="I53" s="5"/>
      <c r="J53" s="61">
        <f>(Table5[[#This Row],[RPM]]/5400-1)</f>
        <v>9.259259259259256E-2</v>
      </c>
      <c r="K53" s="45">
        <v>190</v>
      </c>
      <c r="L53">
        <v>3</v>
      </c>
      <c r="M53" s="36">
        <v>300000</v>
      </c>
      <c r="N53">
        <v>180</v>
      </c>
      <c r="O53" s="36">
        <v>800000</v>
      </c>
      <c r="P53" s="35">
        <f t="shared" ref="P53" si="6">10^14</f>
        <v>100000000000000</v>
      </c>
      <c r="Q53" s="53">
        <v>24</v>
      </c>
      <c r="R53" s="5">
        <v>5.3</v>
      </c>
      <c r="S53" s="5">
        <v>3.7</v>
      </c>
      <c r="T53" s="108">
        <v>0.99</v>
      </c>
      <c r="U53" s="111">
        <f>(((Table5[[#This Row],[Watts Active]]*Power_On_Hours_Year/1000)*Active_Duty_Cycle)+((Table5[[#This Row],[Watts Idle]]*Power_On_Hours_Year/1000)*(100%-Active_Duty_Cycle)))*CostPerKWH</f>
        <v>4.4047944000000001</v>
      </c>
      <c r="V53" s="142">
        <f>Table5[Energy$year]/Table5[[#This Row],[SizTB]]</f>
        <v>0.55059930000000001</v>
      </c>
      <c r="W53" s="140">
        <v>281.99</v>
      </c>
      <c r="X53" s="6">
        <f>IF(Table5[[#This Row],[Cost]],Table5[[#This Row],[Cost]]/Table5[[#This Row],[SizTB]]*Exchange_Rate,"")</f>
        <v>35.248750000000001</v>
      </c>
      <c r="Y53" s="146">
        <f>Table5[[#This Row],[Cost]]+((CompareWarrYrs-Table5[[#This Row],[Warranty]])*(Incremental_Warr_Yr*Table5[[#This Row],[Cost]]))*Exchange_Rate</f>
        <v>344.02780000000001</v>
      </c>
      <c r="Z53" s="6">
        <f>IF(Table5[[#This Row],[$+Warr]],Table5[[#This Row],[$+Warr]]/Table5[[#This Row],[SizTB]],"")</f>
        <v>43.003475000000002</v>
      </c>
      <c r="AA53" s="6">
        <f>IFERROR(Table5[[#This Row],[$PerTB]]/CompareWarrYrs,"")</f>
        <v>8.600695</v>
      </c>
      <c r="AB53" s="6">
        <f>IF(OR(Table5[[#This Row],[$ TB/year]]="",Table5[[#This Row],[Energy$yearPerTB]]=""),"",Table5[[#This Row],[$ TB/year]]+Table5[[#This Row],[Energy$yearPerTB]])</f>
        <v>9.1512943</v>
      </c>
      <c r="AC53" s="156"/>
      <c r="AD53" s="157"/>
      <c r="AE53" s="94" t="s">
        <v>121</v>
      </c>
    </row>
    <row r="54" spans="1:31" x14ac:dyDescent="0.25">
      <c r="A54" s="1">
        <v>43114</v>
      </c>
      <c r="B54" t="s">
        <v>10</v>
      </c>
      <c r="C54" s="96" t="s">
        <v>105</v>
      </c>
      <c r="D54" s="99" t="s">
        <v>49</v>
      </c>
      <c r="E54" s="81">
        <v>3.5</v>
      </c>
      <c r="F54" s="100">
        <v>1</v>
      </c>
      <c r="G54" s="42">
        <v>7200</v>
      </c>
      <c r="H54" s="5">
        <v>4.16</v>
      </c>
      <c r="I54" s="5"/>
      <c r="J54" s="61">
        <f>(Table5[[#This Row],[RPM]]/5400-1)</f>
        <v>0.33333333333333326</v>
      </c>
      <c r="K54" s="45">
        <v>194</v>
      </c>
      <c r="L54">
        <v>5</v>
      </c>
      <c r="M54" s="36"/>
      <c r="N54">
        <v>550</v>
      </c>
      <c r="O54" s="36">
        <v>2000000</v>
      </c>
      <c r="P54" s="35">
        <v>1000000000000000</v>
      </c>
      <c r="Q54" s="53"/>
      <c r="R54" s="5">
        <v>7</v>
      </c>
      <c r="S54" s="5">
        <v>4.7</v>
      </c>
      <c r="T54" s="108"/>
      <c r="U54" s="111">
        <f>(((Table5[[#This Row],[Watts Active]]*Power_On_Hours_Year/1000)*Active_Duty_Cycle)+((Table5[[#This Row],[Watts Idle]]*Power_On_Hours_Year/1000)*(100%-Active_Duty_Cycle)))*CostPerKWH</f>
        <v>5.6539152000000001</v>
      </c>
      <c r="V54" s="142">
        <f>Table5[Energy$year]/Table5[[#This Row],[SizTB]]</f>
        <v>5.6539152000000001</v>
      </c>
      <c r="W54" s="141">
        <v>165</v>
      </c>
      <c r="X54" s="6">
        <f>IF(Table5[[#This Row],[Cost]],Table5[[#This Row],[Cost]]/Table5[[#This Row],[SizTB]]*Exchange_Rate,"")</f>
        <v>165</v>
      </c>
      <c r="Y54" s="146">
        <f>Table5[[#This Row],[Cost]]+((CompareWarrYrs-Table5[[#This Row],[Warranty]])*(Incremental_Warr_Yr*Table5[[#This Row],[Cost]]))*Exchange_Rate</f>
        <v>165</v>
      </c>
      <c r="Z54" s="6">
        <f>IF(Table5[[#This Row],[$+Warr]],Table5[[#This Row],[$+Warr]]/Table5[[#This Row],[SizTB]],"")</f>
        <v>165</v>
      </c>
      <c r="AA54" s="6">
        <f>IFERROR(Table5[[#This Row],[$PerTB]]/CompareWarrYrs,"")</f>
        <v>33</v>
      </c>
      <c r="AB54" s="6">
        <f>IF(OR(Table5[[#This Row],[$ TB/year]]="",Table5[[#This Row],[Energy$yearPerTB]]=""),"",Table5[[#This Row],[$ TB/year]]+Table5[[#This Row],[Energy$yearPerTB]])</f>
        <v>38.6539152</v>
      </c>
      <c r="AC54" s="156"/>
      <c r="AD54" s="157"/>
      <c r="AE54" s="40"/>
    </row>
    <row r="55" spans="1:31" x14ac:dyDescent="0.25">
      <c r="A55" s="1">
        <v>43027</v>
      </c>
      <c r="B55" t="s">
        <v>10</v>
      </c>
      <c r="C55" s="96" t="s">
        <v>105</v>
      </c>
      <c r="D55" s="99" t="s">
        <v>49</v>
      </c>
      <c r="E55" s="81">
        <v>3.5</v>
      </c>
      <c r="F55" s="100">
        <v>2</v>
      </c>
      <c r="G55" s="42">
        <v>7200</v>
      </c>
      <c r="H55" s="5">
        <v>4.16</v>
      </c>
      <c r="I55" s="5"/>
      <c r="J55" s="61">
        <f>(Table5[[#This Row],[RPM]]/5400-1)</f>
        <v>0.33333333333333326</v>
      </c>
      <c r="K55" s="45">
        <v>194</v>
      </c>
      <c r="L55">
        <v>5</v>
      </c>
      <c r="M55" s="36"/>
      <c r="N55">
        <v>550</v>
      </c>
      <c r="O55" s="36">
        <v>2000000</v>
      </c>
      <c r="P55" s="35">
        <v>1000000000000000</v>
      </c>
      <c r="Q55" s="53"/>
      <c r="R55" s="5">
        <v>7</v>
      </c>
      <c r="S55" s="5">
        <v>4.7</v>
      </c>
      <c r="T55" s="108"/>
      <c r="U55" s="111">
        <f>(((Table5[[#This Row],[Watts Active]]*Power_On_Hours_Year/1000)*Active_Duty_Cycle)+((Table5[[#This Row],[Watts Idle]]*Power_On_Hours_Year/1000)*(100%-Active_Duty_Cycle)))*CostPerKWH</f>
        <v>5.6539152000000001</v>
      </c>
      <c r="V55" s="142">
        <f>Table5[Energy$year]/Table5[[#This Row],[SizTB]]</f>
        <v>2.8269576000000001</v>
      </c>
      <c r="W55" s="140">
        <v>306.60000000000002</v>
      </c>
      <c r="X55" s="6">
        <f>IF(Table5[[#This Row],[Cost]],Table5[[#This Row],[Cost]]/Table5[[#This Row],[SizTB]]*Exchange_Rate,"")</f>
        <v>153.30000000000001</v>
      </c>
      <c r="Y55" s="146">
        <f>Table5[[#This Row],[Cost]]+((CompareWarrYrs-Table5[[#This Row],[Warranty]])*(Incremental_Warr_Yr*Table5[[#This Row],[Cost]]))*Exchange_Rate</f>
        <v>306.60000000000002</v>
      </c>
      <c r="Z55" s="6">
        <f>IF(Table5[[#This Row],[$+Warr]],Table5[[#This Row],[$+Warr]]/Table5[[#This Row],[SizTB]],"")</f>
        <v>153.30000000000001</v>
      </c>
      <c r="AA55" s="6">
        <f>IFERROR(Table5[[#This Row],[$PerTB]]/CompareWarrYrs,"")</f>
        <v>30.660000000000004</v>
      </c>
      <c r="AB55" s="6">
        <f>IF(OR(Table5[[#This Row],[$ TB/year]]="",Table5[[#This Row],[Energy$yearPerTB]]=""),"",Table5[[#This Row],[$ TB/year]]+Table5[[#This Row],[Energy$yearPerTB]])</f>
        <v>33.486957600000004</v>
      </c>
      <c r="AC55" s="156"/>
      <c r="AD55" s="157"/>
      <c r="AE55" s="40"/>
    </row>
    <row r="56" spans="1:31" x14ac:dyDescent="0.25">
      <c r="A56" s="1">
        <v>43298</v>
      </c>
      <c r="B56" t="s">
        <v>10</v>
      </c>
      <c r="C56" s="96" t="s">
        <v>107</v>
      </c>
      <c r="D56" s="99" t="s">
        <v>49</v>
      </c>
      <c r="E56" s="81">
        <v>2.5</v>
      </c>
      <c r="F56" s="69">
        <v>1</v>
      </c>
      <c r="G56" s="42">
        <v>7200</v>
      </c>
      <c r="H56" s="5">
        <v>4.16</v>
      </c>
      <c r="I56" s="5"/>
      <c r="J56" s="61">
        <f>(Table5[[#This Row],[RPM]]/5400-1)</f>
        <v>0.33333333333333326</v>
      </c>
      <c r="K56" s="45">
        <v>136</v>
      </c>
      <c r="L56">
        <v>5</v>
      </c>
      <c r="M56" s="36">
        <v>300000</v>
      </c>
      <c r="N56">
        <v>550</v>
      </c>
      <c r="O56" s="36">
        <v>2000000</v>
      </c>
      <c r="P56" s="35">
        <v>1000000000000000</v>
      </c>
      <c r="Q56" s="53"/>
      <c r="R56" s="5">
        <v>5.9</v>
      </c>
      <c r="S56" s="10">
        <v>3.29</v>
      </c>
      <c r="T56" s="108">
        <v>1.52</v>
      </c>
      <c r="U56" s="111">
        <f>(((Table5[[#This Row],[Watts Active]]*Power_On_Hours_Year/1000)*Active_Duty_Cycle)+((Table5[[#This Row],[Watts Idle]]*Power_On_Hours_Year/1000)*(100%-Active_Duty_Cycle)))*CostPerKWH</f>
        <v>4.1768846400000008</v>
      </c>
      <c r="V56" s="142">
        <f>Table5[Energy$year]/Table5[[#This Row],[SizTB]]</f>
        <v>4.1768846400000008</v>
      </c>
      <c r="W56" s="141">
        <v>176.27</v>
      </c>
      <c r="X56" s="6">
        <f>IF(Table5[[#This Row],[Cost]],Table5[[#This Row],[Cost]]/Table5[[#This Row],[SizTB]]*Exchange_Rate,"")</f>
        <v>176.27</v>
      </c>
      <c r="Y56" s="146">
        <f>Table5[[#This Row],[Cost]]+((CompareWarrYrs-Table5[[#This Row],[Warranty]])*(Incremental_Warr_Yr*Table5[[#This Row],[Cost]]))*Exchange_Rate</f>
        <v>176.27</v>
      </c>
      <c r="Z56" s="6">
        <f>IF(Table5[[#This Row],[$+Warr]],Table5[[#This Row],[$+Warr]]/Table5[[#This Row],[SizTB]],"")</f>
        <v>176.27</v>
      </c>
      <c r="AA56" s="6">
        <f>IFERROR(Table5[[#This Row],[$PerTB]]/CompareWarrYrs,"")</f>
        <v>35.254000000000005</v>
      </c>
      <c r="AB56" s="6">
        <f>IF(OR(Table5[[#This Row],[$ TB/year]]="",Table5[[#This Row],[Energy$yearPerTB]]=""),"",Table5[[#This Row],[$ TB/year]]+Table5[[#This Row],[Energy$yearPerTB]])</f>
        <v>39.430884640000002</v>
      </c>
      <c r="AC56" s="156"/>
      <c r="AD56" s="157"/>
      <c r="AE56" s="40"/>
    </row>
    <row r="57" spans="1:31" x14ac:dyDescent="0.25">
      <c r="A57" s="1">
        <v>43166</v>
      </c>
      <c r="B57" t="s">
        <v>10</v>
      </c>
      <c r="C57" s="96" t="s">
        <v>107</v>
      </c>
      <c r="D57" s="99" t="s">
        <v>49</v>
      </c>
      <c r="E57" s="81">
        <v>2.5</v>
      </c>
      <c r="F57" s="69">
        <v>2</v>
      </c>
      <c r="G57" s="42">
        <v>7200</v>
      </c>
      <c r="H57" s="5">
        <v>4.16</v>
      </c>
      <c r="I57" s="5"/>
      <c r="J57" s="61">
        <f>(Table5[[#This Row],[RPM]]/5400-1)</f>
        <v>0.33333333333333326</v>
      </c>
      <c r="K57" s="45">
        <v>136</v>
      </c>
      <c r="L57">
        <v>5</v>
      </c>
      <c r="M57" s="36">
        <v>300000</v>
      </c>
      <c r="N57">
        <v>550</v>
      </c>
      <c r="O57" s="36">
        <v>2000000</v>
      </c>
      <c r="P57" s="35">
        <v>1000000000000000</v>
      </c>
      <c r="Q57" s="53"/>
      <c r="R57" s="5">
        <v>6.02</v>
      </c>
      <c r="S57" s="10">
        <v>3.53</v>
      </c>
      <c r="T57" s="108">
        <v>1.52</v>
      </c>
      <c r="U57" s="111">
        <f>(((Table5[[#This Row],[Watts Active]]*Power_On_Hours_Year/1000)*Active_Duty_Cycle)+((Table5[[#This Row],[Watts Idle]]*Power_On_Hours_Year/1000)*(100%-Active_Duty_Cycle)))*CostPerKWH</f>
        <v>4.4135601600000003</v>
      </c>
      <c r="V57" s="142">
        <f>Table5[Energy$year]/Table5[[#This Row],[SizTB]]</f>
        <v>2.2067800800000001</v>
      </c>
      <c r="W57" s="141">
        <v>270</v>
      </c>
      <c r="X57" s="6">
        <f>IF(Table5[[#This Row],[Cost]],Table5[[#This Row],[Cost]]/Table5[[#This Row],[SizTB]]*Exchange_Rate,"")</f>
        <v>135</v>
      </c>
      <c r="Y57" s="146">
        <f>Table5[[#This Row],[Cost]]+((CompareWarrYrs-Table5[[#This Row],[Warranty]])*(Incremental_Warr_Yr*Table5[[#This Row],[Cost]]))*Exchange_Rate</f>
        <v>270</v>
      </c>
      <c r="Z57" s="6">
        <f>IF(Table5[[#This Row],[$+Warr]],Table5[[#This Row],[$+Warr]]/Table5[[#This Row],[SizTB]],"")</f>
        <v>135</v>
      </c>
      <c r="AA57" s="6">
        <f>IFERROR(Table5[[#This Row],[$PerTB]]/CompareWarrYrs,"")</f>
        <v>27</v>
      </c>
      <c r="AB57" s="6">
        <f>IF(OR(Table5[[#This Row],[$ TB/year]]="",Table5[[#This Row],[Energy$yearPerTB]]=""),"",Table5[[#This Row],[$ TB/year]]+Table5[[#This Row],[Energy$yearPerTB]])</f>
        <v>29.206780080000001</v>
      </c>
      <c r="AC57" s="156"/>
      <c r="AD57" s="157"/>
      <c r="AE57" s="40"/>
    </row>
    <row r="58" spans="1:31" x14ac:dyDescent="0.25">
      <c r="A58" s="1">
        <v>43135</v>
      </c>
      <c r="B58" t="s">
        <v>10</v>
      </c>
      <c r="C58" s="96" t="s">
        <v>102</v>
      </c>
      <c r="D58" s="27" t="s">
        <v>49</v>
      </c>
      <c r="E58" s="81">
        <v>3.5</v>
      </c>
      <c r="F58" s="69">
        <v>1</v>
      </c>
      <c r="G58" s="42">
        <v>7200</v>
      </c>
      <c r="H58" s="5">
        <v>4.16</v>
      </c>
      <c r="I58" s="5"/>
      <c r="J58" s="61">
        <f>(Table5[[#This Row],[RPM]]/5400-1)</f>
        <v>0.33333333333333326</v>
      </c>
      <c r="K58" s="45">
        <v>205</v>
      </c>
      <c r="L58">
        <v>5</v>
      </c>
      <c r="M58" s="36">
        <v>600000</v>
      </c>
      <c r="N58">
        <v>550</v>
      </c>
      <c r="O58" s="36">
        <v>2000000</v>
      </c>
      <c r="P58" s="35">
        <v>1000000000000000</v>
      </c>
      <c r="Q58" s="53"/>
      <c r="R58" s="5">
        <v>5.91</v>
      </c>
      <c r="S58" s="5">
        <v>4.25</v>
      </c>
      <c r="T58" s="108"/>
      <c r="U58" s="111">
        <f>(((Table5[[#This Row],[Watts Active]]*Power_On_Hours_Year/1000)*Active_Duty_Cycle)+((Table5[[#This Row],[Watts Idle]]*Power_On_Hours_Year/1000)*(100%-Active_Duty_Cycle)))*CostPerKWH</f>
        <v>5.0205890399999999</v>
      </c>
      <c r="V58" s="142">
        <f>Table5[Energy$year]/Table5[[#This Row],[SizTB]]</f>
        <v>5.0205890399999999</v>
      </c>
      <c r="W58" s="141">
        <f>81.74+7.73</f>
        <v>89.47</v>
      </c>
      <c r="X58" s="6">
        <f>IF(Table5[[#This Row],[Cost]],Table5[[#This Row],[Cost]]/Table5[[#This Row],[SizTB]]*Exchange_Rate,"")</f>
        <v>89.47</v>
      </c>
      <c r="Y58" s="146">
        <f>Table5[[#This Row],[Cost]]+((CompareWarrYrs-Table5[[#This Row],[Warranty]])*(Incremental_Warr_Yr*Table5[[#This Row],[Cost]]))*Exchange_Rate</f>
        <v>89.47</v>
      </c>
      <c r="Z58" s="6">
        <f>IF(Table5[[#This Row],[$+Warr]],Table5[[#This Row],[$+Warr]]/Table5[[#This Row],[SizTB]],"")</f>
        <v>89.47</v>
      </c>
      <c r="AA58" s="6">
        <f>IFERROR(Table5[[#This Row],[$PerTB]]/CompareWarrYrs,"")</f>
        <v>17.893999999999998</v>
      </c>
      <c r="AB58" s="6">
        <f>IF(OR(Table5[[#This Row],[$ TB/year]]="",Table5[[#This Row],[Energy$yearPerTB]]=""),"",Table5[[#This Row],[$ TB/year]]+Table5[[#This Row],[Energy$yearPerTB]])</f>
        <v>22.914589039999999</v>
      </c>
      <c r="AC58" s="156"/>
      <c r="AD58" s="157"/>
      <c r="AE58" s="40"/>
    </row>
    <row r="59" spans="1:31" x14ac:dyDescent="0.25">
      <c r="A59" s="1">
        <v>43135</v>
      </c>
      <c r="B59" t="s">
        <v>10</v>
      </c>
      <c r="C59" s="96" t="s">
        <v>102</v>
      </c>
      <c r="D59" s="27" t="s">
        <v>49</v>
      </c>
      <c r="E59" s="81">
        <v>3.5</v>
      </c>
      <c r="F59" s="69">
        <v>2</v>
      </c>
      <c r="G59" s="42">
        <v>7200</v>
      </c>
      <c r="H59" s="5">
        <v>4.16</v>
      </c>
      <c r="I59" s="5"/>
      <c r="J59" s="61">
        <f>(Table5[[#This Row],[RPM]]/5400-1)</f>
        <v>0.33333333333333326</v>
      </c>
      <c r="K59" s="45">
        <v>205</v>
      </c>
      <c r="L59">
        <v>5</v>
      </c>
      <c r="M59" s="36">
        <v>600000</v>
      </c>
      <c r="N59">
        <v>550</v>
      </c>
      <c r="O59" s="36">
        <v>2000000</v>
      </c>
      <c r="P59" s="35">
        <v>1000000000000000</v>
      </c>
      <c r="Q59" s="53"/>
      <c r="R59" s="5">
        <v>5.9</v>
      </c>
      <c r="S59" s="5">
        <v>4.25</v>
      </c>
      <c r="T59" s="108">
        <v>0.6</v>
      </c>
      <c r="U59" s="111">
        <f>(((Table5[[#This Row],[Watts Active]]*Power_On_Hours_Year/1000)*Active_Duty_Cycle)+((Table5[[#This Row],[Watts Idle]]*Power_On_Hours_Year/1000)*(100%-Active_Duty_Cycle)))*CostPerKWH</f>
        <v>5.0183976000000001</v>
      </c>
      <c r="V59" s="142">
        <f>Table5[Energy$year]/Table5[[#This Row],[SizTB]]</f>
        <v>2.5091988000000001</v>
      </c>
      <c r="W59" s="141">
        <v>119.99</v>
      </c>
      <c r="X59" s="6">
        <f>IF(Table5[[#This Row],[Cost]],Table5[[#This Row],[Cost]]/Table5[[#This Row],[SizTB]]*Exchange_Rate,"")</f>
        <v>59.994999999999997</v>
      </c>
      <c r="Y59" s="146">
        <f>Table5[[#This Row],[Cost]]+((CompareWarrYrs-Table5[[#This Row],[Warranty]])*(Incremental_Warr_Yr*Table5[[#This Row],[Cost]]))*Exchange_Rate</f>
        <v>119.99</v>
      </c>
      <c r="Z59" s="6">
        <f>IF(Table5[[#This Row],[$+Warr]],Table5[[#This Row],[$+Warr]]/Table5[[#This Row],[SizTB]],"")</f>
        <v>59.994999999999997</v>
      </c>
      <c r="AA59" s="6">
        <f>IFERROR(Table5[[#This Row],[$PerTB]]/CompareWarrYrs,"")</f>
        <v>11.998999999999999</v>
      </c>
      <c r="AB59" s="6">
        <f>IF(OR(Table5[[#This Row],[$ TB/year]]="",Table5[[#This Row],[Energy$yearPerTB]]=""),"",Table5[[#This Row],[$ TB/year]]+Table5[[#This Row],[Energy$yearPerTB]])</f>
        <v>14.508198799999999</v>
      </c>
      <c r="AC59" s="156"/>
      <c r="AD59" s="157"/>
      <c r="AE59" s="40"/>
    </row>
    <row r="60" spans="1:31" x14ac:dyDescent="0.25">
      <c r="A60" s="1">
        <v>43307</v>
      </c>
      <c r="B60" t="s">
        <v>10</v>
      </c>
      <c r="C60" s="96" t="s">
        <v>102</v>
      </c>
      <c r="D60" s="107" t="s">
        <v>49</v>
      </c>
      <c r="E60" s="81">
        <v>3.5</v>
      </c>
      <c r="F60" s="69">
        <v>3</v>
      </c>
      <c r="G60" s="42">
        <v>7200</v>
      </c>
      <c r="H60" s="5">
        <v>4.16</v>
      </c>
      <c r="I60" s="5"/>
      <c r="J60" s="61">
        <f>(Table5[[#This Row],[RPM]]/5400-1)</f>
        <v>0.33333333333333326</v>
      </c>
      <c r="K60" s="45">
        <v>205</v>
      </c>
      <c r="L60">
        <v>5</v>
      </c>
      <c r="M60" s="36">
        <v>600000</v>
      </c>
      <c r="N60">
        <v>550</v>
      </c>
      <c r="O60" s="36">
        <v>2000000</v>
      </c>
      <c r="P60" s="35">
        <v>1000000000000000</v>
      </c>
      <c r="Q60" s="53"/>
      <c r="R60" s="5">
        <v>6.9</v>
      </c>
      <c r="S60" s="5">
        <v>5.45</v>
      </c>
      <c r="T60" s="108">
        <v>0.6</v>
      </c>
      <c r="U60" s="111">
        <f>(((Table5[[#This Row],[Watts Active]]*Power_On_Hours_Year/1000)*Active_Duty_Cycle)+((Table5[[#This Row],[Watts Idle]]*Power_On_Hours_Year/1000)*(100%-Active_Duty_Cycle)))*CostPerKWH</f>
        <v>6.2894328000000002</v>
      </c>
      <c r="V60" s="142">
        <f>Table5[Energy$year]/Table5[[#This Row],[SizTB]]</f>
        <v>2.0964776000000001</v>
      </c>
      <c r="W60" s="141">
        <v>174.88</v>
      </c>
      <c r="X60" s="6">
        <f>IF(Table5[[#This Row],[Cost]],Table5[[#This Row],[Cost]]/Table5[[#This Row],[SizTB]]*Exchange_Rate,"")</f>
        <v>58.293333333333329</v>
      </c>
      <c r="Y60" s="146">
        <f>Table5[[#This Row],[Cost]]+((CompareWarrYrs-Table5[[#This Row],[Warranty]])*(Incremental_Warr_Yr*Table5[[#This Row],[Cost]]))*Exchange_Rate</f>
        <v>174.88</v>
      </c>
      <c r="Z60" s="6">
        <f>IF(Table5[[#This Row],[$+Warr]],Table5[[#This Row],[$+Warr]]/Table5[[#This Row],[SizTB]],"")</f>
        <v>58.293333333333329</v>
      </c>
      <c r="AA60" s="6">
        <f>IFERROR(Table5[[#This Row],[$PerTB]]/CompareWarrYrs,"")</f>
        <v>11.658666666666665</v>
      </c>
      <c r="AB60" s="6">
        <f>IF(OR(Table5[[#This Row],[$ TB/year]]="",Table5[[#This Row],[Energy$yearPerTB]]=""),"",Table5[[#This Row],[$ TB/year]]+Table5[[#This Row],[Energy$yearPerTB]])</f>
        <v>13.755144266666665</v>
      </c>
      <c r="AC60" s="156"/>
      <c r="AD60" s="157"/>
      <c r="AE60" s="40"/>
    </row>
    <row r="61" spans="1:31" x14ac:dyDescent="0.25">
      <c r="A61" s="1">
        <v>43307</v>
      </c>
      <c r="B61" t="s">
        <v>10</v>
      </c>
      <c r="C61" s="96" t="s">
        <v>102</v>
      </c>
      <c r="D61" s="27" t="s">
        <v>49</v>
      </c>
      <c r="E61" s="81">
        <v>3.5</v>
      </c>
      <c r="F61" s="69">
        <v>4</v>
      </c>
      <c r="G61" s="42">
        <v>7200</v>
      </c>
      <c r="H61" s="5">
        <v>4.16</v>
      </c>
      <c r="I61" s="5"/>
      <c r="J61" s="61">
        <f>(Table5[[#This Row],[RPM]]/5400-1)</f>
        <v>0.33333333333333326</v>
      </c>
      <c r="K61" s="45">
        <v>205</v>
      </c>
      <c r="L61">
        <v>5</v>
      </c>
      <c r="M61" s="36">
        <v>600000</v>
      </c>
      <c r="N61">
        <v>550</v>
      </c>
      <c r="O61" s="36">
        <v>2000000</v>
      </c>
      <c r="P61" s="35">
        <v>1000000000000000</v>
      </c>
      <c r="Q61" s="53"/>
      <c r="R61" s="5">
        <v>6.9</v>
      </c>
      <c r="S61" s="5">
        <v>5.45</v>
      </c>
      <c r="T61" s="108">
        <v>0.6</v>
      </c>
      <c r="U61" s="111">
        <f>(((Table5[[#This Row],[Watts Active]]*Power_On_Hours_Year/1000)*Active_Duty_Cycle)+((Table5[[#This Row],[Watts Idle]]*Power_On_Hours_Year/1000)*(100%-Active_Duty_Cycle)))*CostPerKWH</f>
        <v>6.2894328000000002</v>
      </c>
      <c r="V61" s="142">
        <f>Table5[Energy$year]/Table5[[#This Row],[SizTB]]</f>
        <v>1.5723582</v>
      </c>
      <c r="W61" s="141">
        <v>203.77</v>
      </c>
      <c r="X61" s="6">
        <f>IF(Table5[[#This Row],[Cost]],Table5[[#This Row],[Cost]]/Table5[[#This Row],[SizTB]]*Exchange_Rate,"")</f>
        <v>50.942500000000003</v>
      </c>
      <c r="Y61" s="146">
        <v>129.99</v>
      </c>
      <c r="Z61" s="6">
        <f>IF(Table5[[#This Row],[$+Warr]],Table5[[#This Row],[$+Warr]]/Table5[[#This Row],[SizTB]],"")</f>
        <v>32.497500000000002</v>
      </c>
      <c r="AA61" s="6">
        <f>IFERROR(Table5[[#This Row],[$PerTB]]/CompareWarrYrs,"")</f>
        <v>6.4995000000000003</v>
      </c>
      <c r="AB61" s="6">
        <f>IF(OR(Table5[[#This Row],[$ TB/year]]="",Table5[[#This Row],[Energy$yearPerTB]]=""),"",Table5[[#This Row],[$ TB/year]]+Table5[[#This Row],[Energy$yearPerTB]])</f>
        <v>8.0718582000000012</v>
      </c>
      <c r="AC61" s="156"/>
      <c r="AD61" s="157"/>
      <c r="AE61" s="40"/>
    </row>
    <row r="62" spans="1:31" x14ac:dyDescent="0.25">
      <c r="A62" s="1">
        <v>43135</v>
      </c>
      <c r="B62" t="s">
        <v>10</v>
      </c>
      <c r="C62" s="96" t="s">
        <v>102</v>
      </c>
      <c r="D62" s="27" t="s">
        <v>49</v>
      </c>
      <c r="E62" s="81">
        <v>3.5</v>
      </c>
      <c r="F62" s="69">
        <v>6</v>
      </c>
      <c r="G62" s="42">
        <v>7200</v>
      </c>
      <c r="H62" s="5">
        <v>4.16</v>
      </c>
      <c r="I62" s="5"/>
      <c r="J62" s="61">
        <f>(Table5[[#This Row],[RPM]]/5400-1)</f>
        <v>0.33333333333333326</v>
      </c>
      <c r="K62" s="45">
        <v>226</v>
      </c>
      <c r="L62">
        <v>5</v>
      </c>
      <c r="M62" s="36">
        <v>600000</v>
      </c>
      <c r="N62">
        <v>550</v>
      </c>
      <c r="O62" s="36">
        <v>2000000</v>
      </c>
      <c r="P62" s="35">
        <v>1000000000000000</v>
      </c>
      <c r="Q62" s="53"/>
      <c r="R62" s="5">
        <v>9.8000000000000007</v>
      </c>
      <c r="S62" s="5">
        <v>8.15</v>
      </c>
      <c r="T62" s="108">
        <v>0.6</v>
      </c>
      <c r="U62" s="111">
        <f>(((Table5[[#This Row],[Watts Active]]*Power_On_Hours_Year/1000)*Active_Duty_Cycle)+((Table5[[#This Row],[Watts Idle]]*Power_On_Hours_Year/1000)*(100%-Active_Duty_Cycle)))*CostPerKWH</f>
        <v>9.2917056000000002</v>
      </c>
      <c r="V62" s="142">
        <f>Table5[Energy$year]/Table5[[#This Row],[SizTB]]</f>
        <v>1.5486176</v>
      </c>
      <c r="W62" s="141">
        <f>183.34+7.73</f>
        <v>191.07</v>
      </c>
      <c r="X62" s="6">
        <f>IF(Table5[[#This Row],[Cost]],Table5[[#This Row],[Cost]]/Table5[[#This Row],[SizTB]]*Exchange_Rate,"")</f>
        <v>31.844999999999999</v>
      </c>
      <c r="Y62" s="146">
        <f>Table5[[#This Row],[Cost]]+((CompareWarrYrs-Table5[[#This Row],[Warranty]])*(Incremental_Warr_Yr*Table5[[#This Row],[Cost]]))*Exchange_Rate</f>
        <v>191.07</v>
      </c>
      <c r="Z62" s="6">
        <f>IF(Table5[[#This Row],[$+Warr]],Table5[[#This Row],[$+Warr]]/Table5[[#This Row],[SizTB]],"")</f>
        <v>31.844999999999999</v>
      </c>
      <c r="AA62" s="6">
        <f>IFERROR(Table5[[#This Row],[$PerTB]]/CompareWarrYrs,"")</f>
        <v>6.3689999999999998</v>
      </c>
      <c r="AB62" s="6">
        <f>IF(OR(Table5[[#This Row],[$ TB/year]]="",Table5[[#This Row],[Energy$yearPerTB]]=""),"",Table5[[#This Row],[$ TB/year]]+Table5[[#This Row],[Energy$yearPerTB]])</f>
        <v>7.9176175999999998</v>
      </c>
      <c r="AC62" s="156"/>
      <c r="AD62" s="157"/>
      <c r="AE62" s="40"/>
    </row>
    <row r="63" spans="1:31" x14ac:dyDescent="0.25">
      <c r="A63" s="1">
        <v>43080</v>
      </c>
      <c r="B63" t="s">
        <v>10</v>
      </c>
      <c r="C63" s="96" t="s">
        <v>102</v>
      </c>
      <c r="D63" s="27" t="s">
        <v>49</v>
      </c>
      <c r="E63" s="81">
        <v>3.5</v>
      </c>
      <c r="F63" s="69">
        <v>8</v>
      </c>
      <c r="G63" s="42">
        <v>7200</v>
      </c>
      <c r="H63" s="5">
        <v>4.16</v>
      </c>
      <c r="I63" s="5"/>
      <c r="J63" s="61">
        <f>(Table5[[#This Row],[RPM]]/5400-1)</f>
        <v>0.33333333333333326</v>
      </c>
      <c r="K63" s="45">
        <v>249</v>
      </c>
      <c r="L63">
        <v>5</v>
      </c>
      <c r="M63" s="36">
        <v>600000</v>
      </c>
      <c r="N63">
        <v>550</v>
      </c>
      <c r="O63" s="36">
        <v>2000000</v>
      </c>
      <c r="P63" s="35">
        <v>1000000000000000</v>
      </c>
      <c r="Q63" s="53"/>
      <c r="R63" s="5">
        <v>11</v>
      </c>
      <c r="S63" s="5">
        <v>7.6</v>
      </c>
      <c r="T63" s="108">
        <v>0.6</v>
      </c>
      <c r="U63" s="111">
        <f>(((Table5[[#This Row],[Watts Active]]*Power_On_Hours_Year/1000)*Active_Duty_Cycle)+((Table5[[#This Row],[Watts Idle]]*Power_On_Hours_Year/1000)*(100%-Active_Duty_Cycle)))*CostPerKWH</f>
        <v>9.0725616000000002</v>
      </c>
      <c r="V63" s="142">
        <f>Table5[Energy$year]/Table5[[#This Row],[SizTB]]</f>
        <v>1.1340702</v>
      </c>
      <c r="W63" s="141">
        <v>259.99</v>
      </c>
      <c r="X63" s="6">
        <f>IF(Table5[[#This Row],[Cost]],Table5[[#This Row],[Cost]]/Table5[[#This Row],[SizTB]]*Exchange_Rate,"")</f>
        <v>32.498750000000001</v>
      </c>
      <c r="Y63" s="146">
        <f>Table5[[#This Row],[Cost]]+((CompareWarrYrs-Table5[[#This Row],[Warranty]])*(Incremental_Warr_Yr*Table5[[#This Row],[Cost]]))*Exchange_Rate</f>
        <v>259.99</v>
      </c>
      <c r="Z63" s="6">
        <f>IF(Table5[[#This Row],[$+Warr]],Table5[[#This Row],[$+Warr]]/Table5[[#This Row],[SizTB]],"")</f>
        <v>32.498750000000001</v>
      </c>
      <c r="AA63" s="6">
        <f>IFERROR(Table5[[#This Row],[$PerTB]]/CompareWarrYrs,"")</f>
        <v>6.4997500000000006</v>
      </c>
      <c r="AB63" s="6">
        <f>IF(OR(Table5[[#This Row],[$ TB/year]]="",Table5[[#This Row],[Energy$yearPerTB]]=""),"",Table5[[#This Row],[$ TB/year]]+Table5[[#This Row],[Energy$yearPerTB]])</f>
        <v>7.6338202000000006</v>
      </c>
      <c r="AC63" s="156"/>
      <c r="AD63" s="157"/>
      <c r="AE63" s="40"/>
    </row>
    <row r="64" spans="1:31" x14ac:dyDescent="0.25">
      <c r="A64" s="1">
        <v>43208</v>
      </c>
      <c r="B64" t="s">
        <v>10</v>
      </c>
      <c r="C64" s="96" t="s">
        <v>109</v>
      </c>
      <c r="D64" s="99" t="s">
        <v>49</v>
      </c>
      <c r="E64" s="81">
        <v>3.5</v>
      </c>
      <c r="F64" s="69">
        <v>8</v>
      </c>
      <c r="G64" s="42">
        <v>7200</v>
      </c>
      <c r="H64" s="5">
        <v>4.16</v>
      </c>
      <c r="I64" s="5"/>
      <c r="J64" s="61">
        <f>(Table5[[#This Row],[RPM]]/5400-1)</f>
        <v>0.33333333333333326</v>
      </c>
      <c r="K64" s="45">
        <v>237</v>
      </c>
      <c r="L64">
        <v>5</v>
      </c>
      <c r="M64" s="36">
        <v>600000</v>
      </c>
      <c r="N64">
        <v>550</v>
      </c>
      <c r="O64" s="36">
        <v>2500000</v>
      </c>
      <c r="P64" s="35">
        <v>1000000000000000</v>
      </c>
      <c r="Q64" s="53">
        <v>26.21</v>
      </c>
      <c r="R64" s="5">
        <v>7.8</v>
      </c>
      <c r="S64" s="39">
        <v>5</v>
      </c>
      <c r="T64" s="108">
        <v>0.8</v>
      </c>
      <c r="U64" s="111">
        <f>(((Table5[[#This Row],[Watts Active]]*Power_On_Hours_Year/1000)*Active_Duty_Cycle)+((Table5[[#This Row],[Watts Idle]]*Power_On_Hours_Year/1000)*(100%-Active_Duty_Cycle)))*CostPerKWH</f>
        <v>6.0922032000000002</v>
      </c>
      <c r="V64" s="142">
        <f>Table5[Energy$year]/Table5[[#This Row],[SizTB]]</f>
        <v>0.76152540000000002</v>
      </c>
      <c r="W64" s="172">
        <v>324.99</v>
      </c>
      <c r="X64" s="6">
        <f>IF(Table5[[#This Row],[Cost]],Table5[[#This Row],[Cost]]/Table5[[#This Row],[SizTB]]*Exchange_Rate,"")</f>
        <v>40.623750000000001</v>
      </c>
      <c r="Y64" s="146">
        <f>Table5[[#This Row],[Cost]]+((CompareWarrYrs-Table5[[#This Row],[Warranty]])*(Incremental_Warr_Yr*Table5[[#This Row],[Cost]]))*Exchange_Rate</f>
        <v>324.99</v>
      </c>
      <c r="Z64" s="6">
        <f>IF(Table5[[#This Row],[$+Warr]],Table5[[#This Row],[$+Warr]]/Table5[[#This Row],[SizTB]],"")</f>
        <v>40.623750000000001</v>
      </c>
      <c r="AA64" s="6">
        <f>IFERROR(Table5[[#This Row],[$PerTB]]/CompareWarrYrs,"")</f>
        <v>8.1247500000000006</v>
      </c>
      <c r="AB64" s="6">
        <f>IF(OR(Table5[[#This Row],[$ TB/year]]="",Table5[[#This Row],[Energy$yearPerTB]]=""),"",Table5[[#This Row],[$ TB/year]]+Table5[[#This Row],[Energy$yearPerTB]])</f>
        <v>8.8862754000000006</v>
      </c>
      <c r="AC64" s="156"/>
      <c r="AD64" s="157"/>
      <c r="AE64" s="40" t="s">
        <v>37</v>
      </c>
    </row>
    <row r="65" spans="1:31" x14ac:dyDescent="0.25">
      <c r="A65" s="1">
        <v>43179</v>
      </c>
      <c r="B65" t="s">
        <v>10</v>
      </c>
      <c r="C65" s="96" t="s">
        <v>109</v>
      </c>
      <c r="D65" s="99" t="s">
        <v>49</v>
      </c>
      <c r="E65" s="81">
        <v>3.5</v>
      </c>
      <c r="F65" s="69">
        <v>10</v>
      </c>
      <c r="G65" s="42">
        <v>7200</v>
      </c>
      <c r="H65" s="5">
        <v>4.16</v>
      </c>
      <c r="I65" s="5"/>
      <c r="J65" s="61">
        <f>(Table5[[#This Row],[RPM]]/5400-1)</f>
        <v>0.33333333333333326</v>
      </c>
      <c r="K65" s="45">
        <v>237</v>
      </c>
      <c r="L65">
        <v>5</v>
      </c>
      <c r="M65" s="36">
        <v>600000</v>
      </c>
      <c r="N65">
        <v>550</v>
      </c>
      <c r="O65" s="36">
        <v>2500000</v>
      </c>
      <c r="P65" s="35">
        <v>1000000000000000</v>
      </c>
      <c r="Q65" s="53">
        <f>0.58*5+1.94*12</f>
        <v>26.18</v>
      </c>
      <c r="R65" s="5">
        <v>7.8</v>
      </c>
      <c r="S65" s="39">
        <v>5</v>
      </c>
      <c r="T65" s="108">
        <v>0.8</v>
      </c>
      <c r="U65" s="111">
        <f>(((Table5[[#This Row],[Watts Active]]*Power_On_Hours_Year/1000)*Active_Duty_Cycle)+((Table5[[#This Row],[Watts Idle]]*Power_On_Hours_Year/1000)*(100%-Active_Duty_Cycle)))*CostPerKWH</f>
        <v>6.0922032000000002</v>
      </c>
      <c r="V65" s="142">
        <f>Table5[Energy$year]/Table5[[#This Row],[SizTB]]</f>
        <v>0.60922032000000004</v>
      </c>
      <c r="W65" s="141">
        <v>348.5</v>
      </c>
      <c r="X65" s="6">
        <f>IF(Table5[[#This Row],[Cost]],Table5[[#This Row],[Cost]]/Table5[[#This Row],[SizTB]]*Exchange_Rate,"")</f>
        <v>34.85</v>
      </c>
      <c r="Y65" s="146">
        <f>Table5[[#This Row],[Cost]]+((CompareWarrYrs-Table5[[#This Row],[Warranty]])*(Incremental_Warr_Yr*Table5[[#This Row],[Cost]]))*Exchange_Rate</f>
        <v>348.5</v>
      </c>
      <c r="Z65" s="6">
        <f>IF(Table5[[#This Row],[$+Warr]],Table5[[#This Row],[$+Warr]]/Table5[[#This Row],[SizTB]],"")</f>
        <v>34.85</v>
      </c>
      <c r="AA65" s="6">
        <f>IFERROR(Table5[[#This Row],[$PerTB]]/CompareWarrYrs,"")</f>
        <v>6.9700000000000006</v>
      </c>
      <c r="AB65" s="6">
        <f>IF(OR(Table5[[#This Row],[$ TB/year]]="",Table5[[#This Row],[Energy$yearPerTB]]=""),"",Table5[[#This Row],[$ TB/year]]+Table5[[#This Row],[Energy$yearPerTB]])</f>
        <v>7.579220320000001</v>
      </c>
      <c r="AC65" s="156"/>
      <c r="AD65" s="157"/>
      <c r="AE65" s="40" t="s">
        <v>37</v>
      </c>
    </row>
    <row r="66" spans="1:31" x14ac:dyDescent="0.25">
      <c r="A66" s="1">
        <v>43307</v>
      </c>
      <c r="B66" t="s">
        <v>10</v>
      </c>
      <c r="C66" s="96" t="s">
        <v>108</v>
      </c>
      <c r="D66" s="99" t="s">
        <v>49</v>
      </c>
      <c r="E66" s="81">
        <v>3.5</v>
      </c>
      <c r="F66" s="69">
        <v>12</v>
      </c>
      <c r="G66" s="42">
        <v>7200</v>
      </c>
      <c r="H66" s="5">
        <v>4.16</v>
      </c>
      <c r="I66" s="5"/>
      <c r="J66" s="61">
        <f>(Table5[[#This Row],[RPM]]/5400-1)</f>
        <v>0.33333333333333326</v>
      </c>
      <c r="K66" s="45">
        <v>261</v>
      </c>
      <c r="L66">
        <v>5</v>
      </c>
      <c r="M66" s="36">
        <v>600000</v>
      </c>
      <c r="N66">
        <v>550</v>
      </c>
      <c r="O66" s="36">
        <v>2500000</v>
      </c>
      <c r="P66" s="35">
        <v>1000000000000000</v>
      </c>
      <c r="Q66" s="53">
        <f>0.914*5+1.729*12</f>
        <v>25.318000000000001</v>
      </c>
      <c r="R66" s="5">
        <v>7.8</v>
      </c>
      <c r="S66" s="39">
        <v>5</v>
      </c>
      <c r="T66" s="108">
        <v>1.1499999999999999</v>
      </c>
      <c r="U66" s="111">
        <f>(((Table5[[#This Row],[Watts Active]]*Power_On_Hours_Year/1000)*Active_Duty_Cycle)+((Table5[[#This Row],[Watts Idle]]*Power_On_Hours_Year/1000)*(100%-Active_Duty_Cycle)))*CostPerKWH</f>
        <v>6.0922032000000002</v>
      </c>
      <c r="V66" s="142">
        <f>Table5[Energy$year]/Table5[[#This Row],[SizTB]]</f>
        <v>0.50768360000000001</v>
      </c>
      <c r="W66" s="141">
        <v>567.42999999999995</v>
      </c>
      <c r="X66" s="6">
        <f>IF(Table5[[#This Row],[Cost]],Table5[[#This Row],[Cost]]/Table5[[#This Row],[SizTB]]*Exchange_Rate,"")</f>
        <v>47.285833333333329</v>
      </c>
      <c r="Y66" s="146">
        <f>Table5[[#This Row],[Cost]]+((CompareWarrYrs-Table5[[#This Row],[Warranty]])*(Incremental_Warr_Yr*Table5[[#This Row],[Cost]]))*Exchange_Rate</f>
        <v>567.42999999999995</v>
      </c>
      <c r="Z66" s="6">
        <f>IF(Table5[[#This Row],[$+Warr]],Table5[[#This Row],[$+Warr]]/Table5[[#This Row],[SizTB]],"")</f>
        <v>47.285833333333329</v>
      </c>
      <c r="AA66" s="6">
        <f>IFERROR(Table5[[#This Row],[$PerTB]]/CompareWarrYrs,"")</f>
        <v>9.4571666666666658</v>
      </c>
      <c r="AB66" s="6">
        <f>IF(OR(Table5[[#This Row],[$ TB/year]]="",Table5[[#This Row],[Energy$yearPerTB]]=""),"",Table5[[#This Row],[$ TB/year]]+Table5[[#This Row],[Energy$yearPerTB]])</f>
        <v>9.9648502666666658</v>
      </c>
      <c r="AC66" s="156"/>
      <c r="AD66" s="157"/>
      <c r="AE66" s="40" t="s">
        <v>37</v>
      </c>
    </row>
    <row r="67" spans="1:31" x14ac:dyDescent="0.25">
      <c r="A67" s="1">
        <v>43298</v>
      </c>
      <c r="B67" t="s">
        <v>10</v>
      </c>
      <c r="C67" s="96" t="s">
        <v>43</v>
      </c>
      <c r="D67" s="107" t="s">
        <v>126</v>
      </c>
      <c r="E67" s="81">
        <v>2.5</v>
      </c>
      <c r="F67" s="69">
        <v>1</v>
      </c>
      <c r="G67" s="42">
        <v>5400</v>
      </c>
      <c r="H67" s="5">
        <v>5.6</v>
      </c>
      <c r="I67" s="5">
        <v>13</v>
      </c>
      <c r="J67" s="61">
        <f>(Table5[[#This Row],[RPM]]/5400-1)</f>
        <v>0</v>
      </c>
      <c r="K67" s="45">
        <v>140</v>
      </c>
      <c r="L67">
        <v>5</v>
      </c>
      <c r="M67" s="36">
        <v>600000</v>
      </c>
      <c r="N67">
        <v>55</v>
      </c>
      <c r="O67" s="36"/>
      <c r="P67" s="35">
        <f t="shared" ref="P67:P68" si="7">10^14</f>
        <v>100000000000000</v>
      </c>
      <c r="Q67" s="53">
        <v>5</v>
      </c>
      <c r="R67" s="5">
        <v>1.7</v>
      </c>
      <c r="S67" s="5">
        <v>1.45</v>
      </c>
      <c r="T67" s="108">
        <v>0.45</v>
      </c>
      <c r="U67" s="111">
        <f>(((Table5[[#This Row],[Watts Active]]*Power_On_Hours_Year/1000)*Active_Duty_Cycle)+((Table5[[#This Row],[Watts Idle]]*Power_On_Hours_Year/1000)*(100%-Active_Duty_Cycle)))*CostPerKWH</f>
        <v>1.64358</v>
      </c>
      <c r="V67" s="142">
        <f>Table5[Energy$year]/Table5[[#This Row],[SizTB]]</f>
        <v>1.64358</v>
      </c>
      <c r="W67" s="141">
        <v>52.99</v>
      </c>
      <c r="X67" s="6">
        <f>IF(Table5[[#This Row],[Cost]],Table5[[#This Row],[Cost]]/Table5[[#This Row],[SizTB]]*Exchange_Rate,"")</f>
        <v>52.99</v>
      </c>
      <c r="Y67" s="146">
        <f>Table5[[#This Row],[Cost]]+((CompareWarrYrs-Table5[[#This Row],[Warranty]])*(Incremental_Warr_Yr*Table5[[#This Row],[Cost]]))*Exchange_Rate</f>
        <v>52.99</v>
      </c>
      <c r="Z67" s="6">
        <f>IF(Table5[[#This Row],[$+Warr]],Table5[[#This Row],[$+Warr]]/Table5[[#This Row],[SizTB]],"")</f>
        <v>52.99</v>
      </c>
      <c r="AA67" s="6">
        <f>IFERROR(Table5[[#This Row],[$PerTB]]/CompareWarrYrs,"")</f>
        <v>10.598000000000001</v>
      </c>
      <c r="AB67" s="6">
        <f>IF(OR(Table5[[#This Row],[$ TB/year]]="",Table5[[#This Row],[Energy$yearPerTB]]=""),"",Table5[[#This Row],[$ TB/year]]+Table5[[#This Row],[Energy$yearPerTB]])</f>
        <v>12.241580000000001</v>
      </c>
      <c r="AC67" s="156">
        <v>22</v>
      </c>
      <c r="AD67" s="157">
        <v>24</v>
      </c>
      <c r="AE67" s="40" t="s">
        <v>44</v>
      </c>
    </row>
    <row r="68" spans="1:31" x14ac:dyDescent="0.25">
      <c r="A68" s="1">
        <v>43306</v>
      </c>
      <c r="B68" t="s">
        <v>10</v>
      </c>
      <c r="C68" s="96" t="s">
        <v>43</v>
      </c>
      <c r="D68" s="107" t="s">
        <v>126</v>
      </c>
      <c r="E68" s="81">
        <v>2.5</v>
      </c>
      <c r="F68" s="69">
        <v>2</v>
      </c>
      <c r="G68" s="42">
        <v>5400</v>
      </c>
      <c r="H68" s="5">
        <v>5.6</v>
      </c>
      <c r="I68" s="5">
        <v>13</v>
      </c>
      <c r="J68" s="61">
        <f>(Table5[[#This Row],[RPM]]/5400-1)</f>
        <v>0</v>
      </c>
      <c r="K68" s="45">
        <v>140</v>
      </c>
      <c r="L68">
        <v>5</v>
      </c>
      <c r="M68" s="36">
        <v>600000</v>
      </c>
      <c r="N68">
        <v>55</v>
      </c>
      <c r="O68" s="36"/>
      <c r="P68" s="35">
        <f t="shared" si="7"/>
        <v>100000000000000</v>
      </c>
      <c r="Q68" s="53">
        <v>5</v>
      </c>
      <c r="R68" s="5">
        <v>1.8</v>
      </c>
      <c r="S68" s="5">
        <v>1.5</v>
      </c>
      <c r="T68" s="108">
        <v>0.5</v>
      </c>
      <c r="U68" s="111">
        <f>(((Table5[[#This Row],[Watts Active]]*Power_On_Hours_Year/1000)*Active_Duty_Cycle)+((Table5[[#This Row],[Watts Idle]]*Power_On_Hours_Year/1000)*(100%-Active_Duty_Cycle)))*CostPerKWH</f>
        <v>1.7093232</v>
      </c>
      <c r="V68" s="142">
        <f>Table5[Energy$year]/Table5[[#This Row],[SizTB]]</f>
        <v>0.85466160000000002</v>
      </c>
      <c r="W68" s="141">
        <v>74.989999999999995</v>
      </c>
      <c r="X68" s="6">
        <f>IF(Table5[[#This Row],[Cost]],Table5[[#This Row],[Cost]]/Table5[[#This Row],[SizTB]]*Exchange_Rate,"")</f>
        <v>37.494999999999997</v>
      </c>
      <c r="Y68" s="146">
        <f>Table5[[#This Row],[Cost]]+((CompareWarrYrs-Table5[[#This Row],[Warranty]])*(Incremental_Warr_Yr*Table5[[#This Row],[Cost]]))*Exchange_Rate</f>
        <v>74.989999999999995</v>
      </c>
      <c r="Z68" s="6">
        <f>IF(Table5[[#This Row],[$+Warr]],Table5[[#This Row],[$+Warr]]/Table5[[#This Row],[SizTB]],"")</f>
        <v>37.494999999999997</v>
      </c>
      <c r="AA68" s="6">
        <f>IFERROR(Table5[[#This Row],[$PerTB]]/CompareWarrYrs,"")</f>
        <v>7.4989999999999997</v>
      </c>
      <c r="AB68" s="6">
        <f>IF(OR(Table5[[#This Row],[$ TB/year]]="",Table5[[#This Row],[Energy$yearPerTB]]=""),"",Table5[[#This Row],[$ TB/year]]+Table5[[#This Row],[Energy$yearPerTB]])</f>
        <v>8.3536615999999988</v>
      </c>
      <c r="AC68" s="156">
        <v>24</v>
      </c>
      <c r="AD68" s="157">
        <v>26</v>
      </c>
      <c r="AE68" s="40" t="s">
        <v>44</v>
      </c>
    </row>
    <row r="69" spans="1:31" x14ac:dyDescent="0.25">
      <c r="A69" s="1">
        <v>43284</v>
      </c>
      <c r="B69" t="s">
        <v>10</v>
      </c>
      <c r="C69" s="96" t="s">
        <v>43</v>
      </c>
      <c r="D69" s="27" t="s">
        <v>127</v>
      </c>
      <c r="E69" s="81">
        <v>3.5</v>
      </c>
      <c r="F69" s="69">
        <v>1</v>
      </c>
      <c r="G69" s="42">
        <v>7200</v>
      </c>
      <c r="H69" s="5"/>
      <c r="I69" s="5"/>
      <c r="J69" s="61">
        <f>(Table5[[#This Row],[RPM]]/5400-1)</f>
        <v>0.33333333333333326</v>
      </c>
      <c r="K69" s="45"/>
      <c r="L69">
        <v>5</v>
      </c>
      <c r="M69" s="36"/>
      <c r="O69" s="36"/>
      <c r="P69" s="35"/>
      <c r="Q69" s="53">
        <v>24</v>
      </c>
      <c r="R69" s="5">
        <v>5.9</v>
      </c>
      <c r="S69" s="5">
        <v>4.5</v>
      </c>
      <c r="T69" s="108">
        <v>0.63</v>
      </c>
      <c r="U69" s="111">
        <f>(((Table5[[#This Row],[Watts Active]]*Power_On_Hours_Year/1000)*Active_Duty_Cycle)+((Table5[[#This Row],[Watts Idle]]*Power_On_Hours_Year/1000)*(100%-Active_Duty_Cycle)))*CostPerKWH</f>
        <v>5.2375416000000001</v>
      </c>
      <c r="V69" s="142">
        <f>Table5[Energy$year]/Table5[[#This Row],[SizTB]]</f>
        <v>5.2375416000000001</v>
      </c>
      <c r="W69" s="141">
        <v>63.99</v>
      </c>
      <c r="X69" s="6">
        <f>IF(Table5[[#This Row],[Cost]],Table5[[#This Row],[Cost]]/Table5[[#This Row],[SizTB]]*Exchange_Rate,"")</f>
        <v>63.99</v>
      </c>
      <c r="Y69" s="146">
        <f>Table5[[#This Row],[Cost]]+((CompareWarrYrs-Table5[[#This Row],[Warranty]])*(Incremental_Warr_Yr*Table5[[#This Row],[Cost]]))*Exchange_Rate</f>
        <v>63.99</v>
      </c>
      <c r="Z69" s="6">
        <f>IF(Table5[[#This Row],[$+Warr]],Table5[[#This Row],[$+Warr]]/Table5[[#This Row],[SizTB]],"")</f>
        <v>63.99</v>
      </c>
      <c r="AA69" s="6">
        <f>IFERROR(Table5[[#This Row],[$PerTB]]/CompareWarrYrs,"")</f>
        <v>12.798</v>
      </c>
      <c r="AB69" s="6">
        <f>IF(OR(Table5[[#This Row],[$ TB/year]]="",Table5[[#This Row],[Energy$yearPerTB]]=""),"",Table5[[#This Row],[$ TB/year]]+Table5[[#This Row],[Energy$yearPerTB]])</f>
        <v>18.035541600000002</v>
      </c>
      <c r="AC69" s="156">
        <v>24</v>
      </c>
      <c r="AD69" s="157">
        <v>25</v>
      </c>
      <c r="AE69" s="40" t="s">
        <v>44</v>
      </c>
    </row>
    <row r="70" spans="1:31" x14ac:dyDescent="0.25">
      <c r="A70" s="1">
        <v>43298</v>
      </c>
      <c r="B70" t="s">
        <v>10</v>
      </c>
      <c r="C70" s="96" t="s">
        <v>43</v>
      </c>
      <c r="D70" s="27" t="s">
        <v>127</v>
      </c>
      <c r="E70" s="81">
        <v>3.5</v>
      </c>
      <c r="F70" s="69">
        <v>2</v>
      </c>
      <c r="G70" s="42">
        <v>7200</v>
      </c>
      <c r="H70" s="5"/>
      <c r="I70" s="5"/>
      <c r="J70" s="61">
        <f>(Table5[[#This Row],[RPM]]/5400-1)</f>
        <v>0.33333333333333326</v>
      </c>
      <c r="K70" s="45"/>
      <c r="L70">
        <v>5</v>
      </c>
      <c r="M70" s="36"/>
      <c r="O70" s="36"/>
      <c r="P70" s="35"/>
      <c r="Q70" s="53">
        <v>24</v>
      </c>
      <c r="R70" s="5">
        <v>6.7</v>
      </c>
      <c r="S70" s="5">
        <v>3.36</v>
      </c>
      <c r="T70" s="108">
        <v>0.75</v>
      </c>
      <c r="U70" s="111">
        <f>(((Table5[[#This Row],[Watts Active]]*Power_On_Hours_Year/1000)*Active_Duty_Cycle)+((Table5[[#This Row],[Watts Idle]]*Power_On_Hours_Year/1000)*(100%-Active_Duty_Cycle)))*CostPerKWH</f>
        <v>4.4135601600000003</v>
      </c>
      <c r="V70" s="142">
        <f>Table5[Energy$year]/Table5[[#This Row],[SizTB]]</f>
        <v>2.2067800800000001</v>
      </c>
      <c r="W70" s="141">
        <v>69.989999999999995</v>
      </c>
      <c r="X70" s="6">
        <f>IF(Table5[[#This Row],[Cost]],Table5[[#This Row],[Cost]]/Table5[[#This Row],[SizTB]]*Exchange_Rate,"")</f>
        <v>34.994999999999997</v>
      </c>
      <c r="Y70" s="146">
        <f>Table5[[#This Row],[Cost]]+((CompareWarrYrs-Table5[[#This Row],[Warranty]])*(Incremental_Warr_Yr*Table5[[#This Row],[Cost]]))*Exchange_Rate</f>
        <v>69.989999999999995</v>
      </c>
      <c r="Z70" s="6">
        <f>IF(Table5[[#This Row],[$+Warr]],Table5[[#This Row],[$+Warr]]/Table5[[#This Row],[SizTB]],"")</f>
        <v>34.994999999999997</v>
      </c>
      <c r="AA70" s="6">
        <f>IFERROR(Table5[[#This Row],[$PerTB]]/CompareWarrYrs,"")</f>
        <v>6.9989999999999997</v>
      </c>
      <c r="AB70" s="6">
        <f>IF(OR(Table5[[#This Row],[$ TB/year]]="",Table5[[#This Row],[Energy$yearPerTB]]=""),"",Table5[[#This Row],[$ TB/year]]+Table5[[#This Row],[Energy$yearPerTB]])</f>
        <v>9.2057800800000003</v>
      </c>
      <c r="AC70" s="156">
        <v>26</v>
      </c>
      <c r="AD70" s="157">
        <v>27</v>
      </c>
      <c r="AE70" s="40" t="s">
        <v>44</v>
      </c>
    </row>
    <row r="71" spans="1:31" x14ac:dyDescent="0.25">
      <c r="A71" s="1">
        <v>43307</v>
      </c>
      <c r="B71" t="s">
        <v>10</v>
      </c>
      <c r="C71" s="96" t="s">
        <v>13</v>
      </c>
      <c r="D71" s="27" t="s">
        <v>49</v>
      </c>
      <c r="E71" s="81">
        <v>3.5</v>
      </c>
      <c r="F71" s="69">
        <v>1</v>
      </c>
      <c r="G71" s="42">
        <v>5900</v>
      </c>
      <c r="H71" s="5">
        <v>5.0999999999999996</v>
      </c>
      <c r="I71" s="5">
        <v>11.99</v>
      </c>
      <c r="J71" s="61">
        <f>(Table5[[#This Row],[RPM]]/5400-1)</f>
        <v>9.259259259259256E-2</v>
      </c>
      <c r="K71" s="45">
        <v>180</v>
      </c>
      <c r="L71">
        <v>3</v>
      </c>
      <c r="M71" s="36">
        <v>600000</v>
      </c>
      <c r="N71">
        <v>180</v>
      </c>
      <c r="O71" s="36">
        <v>1000000</v>
      </c>
      <c r="P71" s="35">
        <f t="shared" ref="P71:P74" si="8">10^14</f>
        <v>100000000000000</v>
      </c>
      <c r="Q71" s="53">
        <f>12*1.2</f>
        <v>14.399999999999999</v>
      </c>
      <c r="R71" s="5">
        <v>3.76</v>
      </c>
      <c r="S71" s="5">
        <v>2.5</v>
      </c>
      <c r="T71" s="108">
        <v>0.8</v>
      </c>
      <c r="U71" s="111">
        <f>(((Table5[[#This Row],[Watts Active]]*Power_On_Hours_Year/1000)*Active_Duty_Cycle)+((Table5[[#This Row],[Watts Idle]]*Power_On_Hours_Year/1000)*(100%-Active_Duty_Cycle)))*CostPerKWH</f>
        <v>3.0154214399999999</v>
      </c>
      <c r="V71" s="142">
        <f>Table5[Energy$year]/Table5[[#This Row],[SizTB]]</f>
        <v>3.0154214399999999</v>
      </c>
      <c r="W71" s="141">
        <v>59.99</v>
      </c>
      <c r="X71" s="6">
        <f>IF(Table5[[#This Row],[Cost]],Table5[[#This Row],[Cost]]/Table5[[#This Row],[SizTB]]*Exchange_Rate,"")</f>
        <v>59.99</v>
      </c>
      <c r="Y71" s="146">
        <f>Table5[[#This Row],[Cost]]+((CompareWarrYrs-Table5[[#This Row],[Warranty]])*(Incremental_Warr_Yr*Table5[[#This Row],[Cost]]))*Exchange_Rate</f>
        <v>73.18780000000001</v>
      </c>
      <c r="Z71" s="6">
        <f>IF(Table5[[#This Row],[$+Warr]],Table5[[#This Row],[$+Warr]]/Table5[[#This Row],[SizTB]],"")</f>
        <v>73.18780000000001</v>
      </c>
      <c r="AA71" s="6">
        <f>IFERROR(Table5[[#This Row],[$PerTB]]/CompareWarrYrs,"")</f>
        <v>14.637560000000002</v>
      </c>
      <c r="AB71" s="6">
        <f>IF(OR(Table5[[#This Row],[$ TB/year]]="",Table5[[#This Row],[Energy$yearPerTB]]=""),"",Table5[[#This Row],[$ TB/year]]+Table5[[#This Row],[Energy$yearPerTB]])</f>
        <v>17.652981440000001</v>
      </c>
      <c r="AC71" s="156">
        <v>20</v>
      </c>
      <c r="AD71" s="157">
        <v>22</v>
      </c>
      <c r="AE71" s="40"/>
    </row>
    <row r="72" spans="1:31" x14ac:dyDescent="0.25">
      <c r="A72" s="1">
        <v>43321</v>
      </c>
      <c r="B72" t="s">
        <v>10</v>
      </c>
      <c r="C72" s="96" t="s">
        <v>13</v>
      </c>
      <c r="D72" s="27" t="s">
        <v>49</v>
      </c>
      <c r="E72" s="81">
        <v>3.5</v>
      </c>
      <c r="F72" s="69">
        <v>2</v>
      </c>
      <c r="G72" s="42">
        <v>5900</v>
      </c>
      <c r="H72" s="5">
        <v>5.0999999999999996</v>
      </c>
      <c r="I72" s="5">
        <v>11.99</v>
      </c>
      <c r="J72" s="61">
        <f>(Table5[[#This Row],[RPM]]/5400-1)</f>
        <v>9.259259259259256E-2</v>
      </c>
      <c r="K72" s="45">
        <v>180</v>
      </c>
      <c r="L72">
        <v>3</v>
      </c>
      <c r="M72" s="36">
        <v>600000</v>
      </c>
      <c r="N72">
        <v>180</v>
      </c>
      <c r="O72" s="36">
        <v>1000000</v>
      </c>
      <c r="P72" s="35">
        <f t="shared" si="8"/>
        <v>100000000000000</v>
      </c>
      <c r="Q72" s="53">
        <f>12*2</f>
        <v>24</v>
      </c>
      <c r="R72" s="5">
        <v>4.3</v>
      </c>
      <c r="S72" s="5">
        <v>3.56</v>
      </c>
      <c r="T72" s="108">
        <v>0.8</v>
      </c>
      <c r="U72" s="111">
        <f>(((Table5[[#This Row],[Watts Active]]*Power_On_Hours_Year/1000)*Active_Duty_Cycle)+((Table5[[#This Row],[Watts Idle]]*Power_On_Hours_Year/1000)*(100%-Active_Duty_Cycle)))*CostPerKWH</f>
        <v>4.0629297600000003</v>
      </c>
      <c r="V72" s="142">
        <f>Table5[Energy$year]/Table5[[#This Row],[SizTB]]</f>
        <v>2.0314648800000001</v>
      </c>
      <c r="W72" s="141">
        <v>67.989999999999995</v>
      </c>
      <c r="X72" s="6">
        <f>IF(Table5[[#This Row],[Cost]],Table5[[#This Row],[Cost]]/Table5[[#This Row],[SizTB]]*Exchange_Rate,"")</f>
        <v>33.994999999999997</v>
      </c>
      <c r="Y72" s="146">
        <f>Table5[[#This Row],[Cost]]+((CompareWarrYrs-Table5[[#This Row],[Warranty]])*(Incremental_Warr_Yr*Table5[[#This Row],[Cost]]))*Exchange_Rate</f>
        <v>82.947800000000001</v>
      </c>
      <c r="Z72" s="6">
        <f>IF(Table5[[#This Row],[$+Warr]],Table5[[#This Row],[$+Warr]]/Table5[[#This Row],[SizTB]],"")</f>
        <v>41.4739</v>
      </c>
      <c r="AA72" s="6">
        <f>IFERROR(Table5[[#This Row],[$PerTB]]/CompareWarrYrs,"")</f>
        <v>8.2947799999999994</v>
      </c>
      <c r="AB72" s="6">
        <f>IF(OR(Table5[[#This Row],[$ TB/year]]="",Table5[[#This Row],[Energy$yearPerTB]]=""),"",Table5[[#This Row],[$ TB/year]]+Table5[[#This Row],[Energy$yearPerTB]])</f>
        <v>10.326244879999999</v>
      </c>
      <c r="AC72" s="156">
        <v>20</v>
      </c>
      <c r="AD72" s="157">
        <v>22</v>
      </c>
      <c r="AE72" s="40"/>
    </row>
    <row r="73" spans="1:31" x14ac:dyDescent="0.25">
      <c r="A73" s="1">
        <v>43307</v>
      </c>
      <c r="B73" t="s">
        <v>10</v>
      </c>
      <c r="C73" s="96" t="s">
        <v>13</v>
      </c>
      <c r="D73" s="27" t="s">
        <v>49</v>
      </c>
      <c r="E73" s="81">
        <v>3.5</v>
      </c>
      <c r="F73" s="69">
        <v>3</v>
      </c>
      <c r="G73" s="42">
        <v>5900</v>
      </c>
      <c r="H73" s="5">
        <v>5.0999999999999996</v>
      </c>
      <c r="I73" s="5">
        <v>11.99</v>
      </c>
      <c r="J73" s="61">
        <f>(Table5[[#This Row],[RPM]]/5400-1)</f>
        <v>9.259259259259256E-2</v>
      </c>
      <c r="K73" s="45">
        <v>180</v>
      </c>
      <c r="L73">
        <v>3</v>
      </c>
      <c r="M73" s="36">
        <v>600000</v>
      </c>
      <c r="N73">
        <v>180</v>
      </c>
      <c r="O73" s="36">
        <v>1000000</v>
      </c>
      <c r="P73" s="35">
        <f t="shared" si="8"/>
        <v>100000000000000</v>
      </c>
      <c r="Q73" s="53">
        <f>12*2</f>
        <v>24</v>
      </c>
      <c r="R73" s="5">
        <v>4.8</v>
      </c>
      <c r="S73" s="5">
        <v>4.8</v>
      </c>
      <c r="T73" s="108">
        <v>0.6</v>
      </c>
      <c r="U73" s="111">
        <f>(((Table5[[#This Row],[Watts Active]]*Power_On_Hours_Year/1000)*Active_Duty_Cycle)+((Table5[[#This Row],[Watts Idle]]*Power_On_Hours_Year/1000)*(100%-Active_Duty_Cycle)))*CostPerKWH</f>
        <v>5.2594560000000001</v>
      </c>
      <c r="V73" s="142">
        <f>Table5[Energy$year]/Table5[[#This Row],[SizTB]]</f>
        <v>1.753152</v>
      </c>
      <c r="W73" s="141">
        <v>102.41</v>
      </c>
      <c r="X73" s="6">
        <f>IF(Table5[[#This Row],[Cost]],Table5[[#This Row],[Cost]]/Table5[[#This Row],[SizTB]]*Exchange_Rate,"")</f>
        <v>34.136666666666663</v>
      </c>
      <c r="Y73" s="146">
        <f>Table5[[#This Row],[Cost]]+((CompareWarrYrs-Table5[[#This Row],[Warranty]])*(Incremental_Warr_Yr*Table5[[#This Row],[Cost]]))*Exchange_Rate</f>
        <v>124.9402</v>
      </c>
      <c r="Z73" s="6">
        <f>IF(Table5[[#This Row],[$+Warr]],Table5[[#This Row],[$+Warr]]/Table5[[#This Row],[SizTB]],"")</f>
        <v>41.646733333333337</v>
      </c>
      <c r="AA73" s="6">
        <f>IFERROR(Table5[[#This Row],[$PerTB]]/CompareWarrYrs,"")</f>
        <v>8.3293466666666678</v>
      </c>
      <c r="AB73" s="6">
        <f>IF(OR(Table5[[#This Row],[$ TB/year]]="",Table5[[#This Row],[Energy$yearPerTB]]=""),"",Table5[[#This Row],[$ TB/year]]+Table5[[#This Row],[Energy$yearPerTB]])</f>
        <v>10.082498666666668</v>
      </c>
      <c r="AC73" s="156">
        <v>24</v>
      </c>
      <c r="AD73" s="157">
        <v>26</v>
      </c>
      <c r="AE73" s="40"/>
    </row>
    <row r="74" spans="1:31" x14ac:dyDescent="0.25">
      <c r="A74" s="1">
        <v>43314</v>
      </c>
      <c r="B74" t="s">
        <v>10</v>
      </c>
      <c r="C74" s="96" t="s">
        <v>13</v>
      </c>
      <c r="D74" s="27" t="s">
        <v>49</v>
      </c>
      <c r="E74" s="81">
        <v>3.5</v>
      </c>
      <c r="F74" s="69">
        <v>4</v>
      </c>
      <c r="G74" s="42">
        <v>5900</v>
      </c>
      <c r="H74" s="5">
        <v>5.0999999999999996</v>
      </c>
      <c r="I74" s="5">
        <v>9.5</v>
      </c>
      <c r="J74" s="61">
        <f>(Table5[[#This Row],[RPM]]/5400-1)</f>
        <v>9.259259259259256E-2</v>
      </c>
      <c r="K74" s="45">
        <v>180</v>
      </c>
      <c r="L74">
        <v>3</v>
      </c>
      <c r="M74" s="36">
        <v>600000</v>
      </c>
      <c r="N74">
        <v>180</v>
      </c>
      <c r="O74" s="36">
        <v>1000000</v>
      </c>
      <c r="P74" s="35">
        <f t="shared" si="8"/>
        <v>100000000000000</v>
      </c>
      <c r="Q74" s="53">
        <f t="shared" ref="Q74:Q76" si="9">12*1.8</f>
        <v>21.6</v>
      </c>
      <c r="R74" s="5">
        <v>4.8</v>
      </c>
      <c r="S74" s="5">
        <v>3.95</v>
      </c>
      <c r="T74" s="108">
        <v>0.5</v>
      </c>
      <c r="U74" s="111">
        <f>(((Table5[[#This Row],[Watts Active]]*Power_On_Hours_Year/1000)*Active_Duty_Cycle)+((Table5[[#This Row],[Watts Idle]]*Power_On_Hours_Year/1000)*(100%-Active_Duty_Cycle)))*CostPerKWH</f>
        <v>4.5143664000000001</v>
      </c>
      <c r="V74" s="142">
        <f>Table5[Energy$year]/Table5[[#This Row],[SizTB]]</f>
        <v>1.1285916</v>
      </c>
      <c r="W74" s="141">
        <v>109.99</v>
      </c>
      <c r="X74" s="6">
        <f>IF(Table5[[#This Row],[Cost]],Table5[[#This Row],[Cost]]/Table5[[#This Row],[SizTB]]*Exchange_Rate,"")</f>
        <v>27.497499999999999</v>
      </c>
      <c r="Y74" s="146">
        <f>Table5[[#This Row],[Cost]]+((CompareWarrYrs-Table5[[#This Row],[Warranty]])*(Incremental_Warr_Yr*Table5[[#This Row],[Cost]]))*Exchange_Rate</f>
        <v>134.18779999999998</v>
      </c>
      <c r="Z74" s="6">
        <f>IF(Table5[[#This Row],[$+Warr]],Table5[[#This Row],[$+Warr]]/Table5[[#This Row],[SizTB]],"")</f>
        <v>33.546949999999995</v>
      </c>
      <c r="AA74" s="6">
        <f>IFERROR(Table5[[#This Row],[$PerTB]]/CompareWarrYrs,"")</f>
        <v>6.7093899999999991</v>
      </c>
      <c r="AB74" s="6">
        <f>IF(OR(Table5[[#This Row],[$ TB/year]]="",Table5[[#This Row],[Energy$yearPerTB]]=""),"",Table5[[#This Row],[$ TB/year]]+Table5[[#This Row],[Energy$yearPerTB]])</f>
        <v>7.8379815999999991</v>
      </c>
      <c r="AC74" s="156">
        <v>24</v>
      </c>
      <c r="AD74" s="157">
        <v>26</v>
      </c>
      <c r="AE74" s="40"/>
    </row>
    <row r="75" spans="1:31" x14ac:dyDescent="0.25">
      <c r="A75" s="1">
        <v>43334</v>
      </c>
      <c r="B75" t="s">
        <v>10</v>
      </c>
      <c r="C75" s="96" t="s">
        <v>13</v>
      </c>
      <c r="D75" s="27" t="s">
        <v>49</v>
      </c>
      <c r="E75" s="81">
        <v>3.5</v>
      </c>
      <c r="F75" s="69">
        <v>6</v>
      </c>
      <c r="G75" s="42">
        <v>7200</v>
      </c>
      <c r="H75" s="5">
        <v>4</v>
      </c>
      <c r="I75" s="5">
        <v>9.5</v>
      </c>
      <c r="J75" s="61">
        <f>(Table5[[#This Row],[RPM]]/5400-1)</f>
        <v>0.33333333333333326</v>
      </c>
      <c r="K75" s="45">
        <v>210</v>
      </c>
      <c r="L75">
        <v>3</v>
      </c>
      <c r="M75" s="36">
        <v>600000</v>
      </c>
      <c r="N75">
        <v>180</v>
      </c>
      <c r="O75" s="36">
        <v>1000000</v>
      </c>
      <c r="P75" s="35">
        <v>1000000000000000</v>
      </c>
      <c r="Q75" s="53">
        <f t="shared" si="9"/>
        <v>21.6</v>
      </c>
      <c r="R75" s="5">
        <v>8.1</v>
      </c>
      <c r="S75" s="5">
        <v>7.2</v>
      </c>
      <c r="T75" s="108">
        <v>0.6</v>
      </c>
      <c r="U75" s="111">
        <f>(((Table5[[#This Row],[Watts Active]]*Power_On_Hours_Year/1000)*Active_Duty_Cycle)+((Table5[[#This Row],[Watts Idle]]*Power_On_Hours_Year/1000)*(100%-Active_Duty_Cycle)))*CostPerKWH</f>
        <v>8.0864136000000002</v>
      </c>
      <c r="V75" s="142">
        <f>Table5[Energy$year]/Table5[[#This Row],[SizTB]]</f>
        <v>1.3477356</v>
      </c>
      <c r="W75" s="141">
        <v>167.99</v>
      </c>
      <c r="X75" s="6">
        <f>IF(Table5[[#This Row],[Cost]],Table5[[#This Row],[Cost]]/Table5[[#This Row],[SizTB]]*Exchange_Rate,"")</f>
        <v>27.998333333333335</v>
      </c>
      <c r="Y75" s="146">
        <f>Table5[[#This Row],[Cost]]+((CompareWarrYrs-Table5[[#This Row],[Warranty]])*(Incremental_Warr_Yr*Table5[[#This Row],[Cost]]))*Exchange_Rate</f>
        <v>204.9478</v>
      </c>
      <c r="Z75" s="6">
        <f>IF(Table5[[#This Row],[$+Warr]],Table5[[#This Row],[$+Warr]]/Table5[[#This Row],[SizTB]],"")</f>
        <v>34.157966666666667</v>
      </c>
      <c r="AA75" s="6">
        <f>IFERROR(Table5[[#This Row],[$PerTB]]/CompareWarrYrs,"")</f>
        <v>6.8315933333333332</v>
      </c>
      <c r="AB75" s="6">
        <f>IF(OR(Table5[[#This Row],[$ TB/year]]="",Table5[[#This Row],[Energy$yearPerTB]]=""),"",Table5[[#This Row],[$ TB/year]]+Table5[[#This Row],[Energy$yearPerTB]])</f>
        <v>8.1793289333333341</v>
      </c>
      <c r="AC75" s="156">
        <v>28</v>
      </c>
      <c r="AD75" s="157">
        <v>29</v>
      </c>
      <c r="AE75" s="40"/>
    </row>
    <row r="76" spans="1:31" x14ac:dyDescent="0.25">
      <c r="A76" s="1">
        <v>43307</v>
      </c>
      <c r="B76" t="s">
        <v>10</v>
      </c>
      <c r="C76" s="96" t="s">
        <v>13</v>
      </c>
      <c r="D76" s="27" t="s">
        <v>49</v>
      </c>
      <c r="E76" s="81">
        <v>3.5</v>
      </c>
      <c r="F76" s="69">
        <v>8</v>
      </c>
      <c r="G76" s="42">
        <v>7200</v>
      </c>
      <c r="H76" s="5">
        <v>4</v>
      </c>
      <c r="I76" s="5">
        <v>9.5</v>
      </c>
      <c r="J76" s="61">
        <f>(Table5[[#This Row],[RPM]]/5400-1)</f>
        <v>0.33333333333333326</v>
      </c>
      <c r="K76" s="45">
        <v>210</v>
      </c>
      <c r="L76">
        <v>3</v>
      </c>
      <c r="M76" s="36">
        <v>600000</v>
      </c>
      <c r="N76">
        <v>180</v>
      </c>
      <c r="O76" s="36">
        <v>1000000</v>
      </c>
      <c r="P76" s="35">
        <v>1000000000000000</v>
      </c>
      <c r="Q76" s="53">
        <f t="shared" si="9"/>
        <v>21.6</v>
      </c>
      <c r="R76" s="5">
        <v>8.8000000000000007</v>
      </c>
      <c r="S76" s="5">
        <v>7.6</v>
      </c>
      <c r="T76" s="108">
        <v>0.6</v>
      </c>
      <c r="U76" s="111">
        <f>(((Table5[[#This Row],[Watts Active]]*Power_On_Hours_Year/1000)*Active_Duty_Cycle)+((Table5[[#This Row],[Watts Idle]]*Power_On_Hours_Year/1000)*(100%-Active_Duty_Cycle)))*CostPerKWH</f>
        <v>8.5904448000000002</v>
      </c>
      <c r="V76" s="142">
        <f>Table5[Energy$year]/Table5[[#This Row],[SizTB]]</f>
        <v>1.0738056</v>
      </c>
      <c r="W76" s="141">
        <v>247.46</v>
      </c>
      <c r="X76" s="6">
        <f>IF(Table5[[#This Row],[Cost]],Table5[[#This Row],[Cost]]/Table5[[#This Row],[SizTB]]*Exchange_Rate,"")</f>
        <v>30.932500000000001</v>
      </c>
      <c r="Y76" s="146">
        <f>Table5[[#This Row],[Cost]]+((CompareWarrYrs-Table5[[#This Row],[Warranty]])*(Incremental_Warr_Yr*Table5[[#This Row],[Cost]]))*Exchange_Rate</f>
        <v>301.90120000000002</v>
      </c>
      <c r="Z76" s="6">
        <f>IF(Table5[[#This Row],[$+Warr]],Table5[[#This Row],[$+Warr]]/Table5[[#This Row],[SizTB]],"")</f>
        <v>37.737650000000002</v>
      </c>
      <c r="AA76" s="6">
        <f>IFERROR(Table5[[#This Row],[$PerTB]]/CompareWarrYrs,"")</f>
        <v>7.5475300000000001</v>
      </c>
      <c r="AB76" s="6">
        <f>IF(OR(Table5[[#This Row],[$ TB/year]]="",Table5[[#This Row],[Energy$yearPerTB]]=""),"",Table5[[#This Row],[$ TB/year]]+Table5[[#This Row],[Energy$yearPerTB]])</f>
        <v>8.6213356000000001</v>
      </c>
      <c r="AC76" s="156">
        <v>28</v>
      </c>
      <c r="AD76" s="157">
        <v>29</v>
      </c>
      <c r="AE76" s="40"/>
    </row>
    <row r="77" spans="1:31" x14ac:dyDescent="0.25">
      <c r="A77" s="1">
        <v>43321</v>
      </c>
      <c r="B77" t="s">
        <v>10</v>
      </c>
      <c r="C77" s="96" t="s">
        <v>13</v>
      </c>
      <c r="D77" s="27" t="s">
        <v>49</v>
      </c>
      <c r="E77" s="81">
        <v>3.5</v>
      </c>
      <c r="F77" s="69">
        <v>10</v>
      </c>
      <c r="G77" s="42">
        <v>7200</v>
      </c>
      <c r="H77" s="5"/>
      <c r="I77" s="5"/>
      <c r="J77" s="61">
        <f>(Table5[[#This Row],[RPM]]/5400-1)</f>
        <v>0.33333333333333326</v>
      </c>
      <c r="K77" s="45">
        <v>210</v>
      </c>
      <c r="L77">
        <v>3</v>
      </c>
      <c r="M77" s="36">
        <v>600000</v>
      </c>
      <c r="N77">
        <v>180</v>
      </c>
      <c r="O77" s="36">
        <v>1000000</v>
      </c>
      <c r="P77" s="35">
        <v>1000000000000000</v>
      </c>
      <c r="Q77" s="53">
        <f>12*1.8</f>
        <v>21.6</v>
      </c>
      <c r="R77" s="5">
        <v>7.8</v>
      </c>
      <c r="S77" s="5">
        <v>5</v>
      </c>
      <c r="T77" s="108">
        <v>0.8</v>
      </c>
      <c r="U77" s="111">
        <f>(((Table5[[#This Row],[Watts Active]]*Power_On_Hours_Year/1000)*Active_Duty_Cycle)+((Table5[[#This Row],[Watts Idle]]*Power_On_Hours_Year/1000)*(100%-Active_Duty_Cycle)))*CostPerKWH</f>
        <v>6.0922032000000002</v>
      </c>
      <c r="V77" s="142">
        <f>Table5[Energy$year]/Table5[[#This Row],[SizTB]]</f>
        <v>0.60922032000000004</v>
      </c>
      <c r="W77" s="141">
        <v>279.99</v>
      </c>
      <c r="X77" s="6">
        <f>IF(Table5[[#This Row],[Cost]],Table5[[#This Row],[Cost]]/Table5[[#This Row],[SizTB]]*Exchange_Rate,"")</f>
        <v>27.999000000000002</v>
      </c>
      <c r="Y77" s="146">
        <f>Table5[[#This Row],[Cost]]+((CompareWarrYrs-Table5[[#This Row],[Warranty]])*(Incremental_Warr_Yr*Table5[[#This Row],[Cost]]))*Exchange_Rate</f>
        <v>341.58780000000002</v>
      </c>
      <c r="Z77" s="6">
        <f>IF(Table5[[#This Row],[$+Warr]],Table5[[#This Row],[$+Warr]]/Table5[[#This Row],[SizTB]],"")</f>
        <v>34.15878</v>
      </c>
      <c r="AA77" s="6">
        <f>IFERROR(Table5[[#This Row],[$PerTB]]/CompareWarrYrs,"")</f>
        <v>6.8317560000000004</v>
      </c>
      <c r="AB77" s="6">
        <f>IF(OR(Table5[[#This Row],[$ TB/year]]="",Table5[[#This Row],[Energy$yearPerTB]]=""),"",Table5[[#This Row],[$ TB/year]]+Table5[[#This Row],[Energy$yearPerTB]])</f>
        <v>7.4409763200000008</v>
      </c>
      <c r="AC77" s="156">
        <v>30</v>
      </c>
      <c r="AD77" s="157">
        <v>34</v>
      </c>
      <c r="AE77" s="40"/>
    </row>
    <row r="78" spans="1:31" x14ac:dyDescent="0.25">
      <c r="A78" s="1">
        <v>43307</v>
      </c>
      <c r="B78" t="s">
        <v>10</v>
      </c>
      <c r="C78" s="96" t="s">
        <v>13</v>
      </c>
      <c r="D78" s="107" t="s">
        <v>49</v>
      </c>
      <c r="E78" s="81">
        <v>3.5</v>
      </c>
      <c r="F78" s="69">
        <v>12</v>
      </c>
      <c r="G78" s="42">
        <v>7200</v>
      </c>
      <c r="H78" s="5">
        <v>4.16</v>
      </c>
      <c r="I78" s="5"/>
      <c r="J78" s="61">
        <f>(Table5[[#This Row],[RPM]]/5400-1)</f>
        <v>0.33333333333333326</v>
      </c>
      <c r="K78" s="45">
        <v>210</v>
      </c>
      <c r="L78">
        <v>3</v>
      </c>
      <c r="M78" s="36">
        <v>600000</v>
      </c>
      <c r="N78">
        <v>180</v>
      </c>
      <c r="O78" s="36">
        <v>1000000</v>
      </c>
      <c r="P78" s="35">
        <v>1000000000000000</v>
      </c>
      <c r="Q78" s="53">
        <f>1.8*12</f>
        <v>21.6</v>
      </c>
      <c r="R78" s="5">
        <v>7.8</v>
      </c>
      <c r="S78" s="5">
        <v>5</v>
      </c>
      <c r="T78" s="108">
        <v>0.8</v>
      </c>
      <c r="U78" s="111">
        <f>(((Table5[[#This Row],[Watts Active]]*Power_On_Hours_Year/1000)*Active_Duty_Cycle)+((Table5[[#This Row],[Watts Idle]]*Power_On_Hours_Year/1000)*(100%-Active_Duty_Cycle)))*CostPerKWH</f>
        <v>6.0922032000000002</v>
      </c>
      <c r="V78" s="142">
        <f>Table5[Energy$year]/Table5[[#This Row],[SizTB]]</f>
        <v>0.50768360000000001</v>
      </c>
      <c r="W78" s="141">
        <v>389.99</v>
      </c>
      <c r="X78" s="6">
        <f>IF(Table5[[#This Row],[Cost]],Table5[[#This Row],[Cost]]/Table5[[#This Row],[SizTB]]*Exchange_Rate,"")</f>
        <v>32.499166666666667</v>
      </c>
      <c r="Y78" s="146">
        <f>Table5[[#This Row],[Cost]]+((CompareWarrYrs-Table5[[#This Row],[Warranty]])*(Incremental_Warr_Yr*Table5[[#This Row],[Cost]]))*Exchange_Rate</f>
        <v>475.7878</v>
      </c>
      <c r="Z78" s="6">
        <f>IF(Table5[[#This Row],[$+Warr]],Table5[[#This Row],[$+Warr]]/Table5[[#This Row],[SizTB]],"")</f>
        <v>39.648983333333334</v>
      </c>
      <c r="AA78" s="6">
        <f>IFERROR(Table5[[#This Row],[$PerTB]]/CompareWarrYrs,"")</f>
        <v>7.9297966666666664</v>
      </c>
      <c r="AB78" s="6">
        <f>IF(OR(Table5[[#This Row],[$ TB/year]]="",Table5[[#This Row],[Energy$yearPerTB]]=""),"",Table5[[#This Row],[$ TB/year]]+Table5[[#This Row],[Energy$yearPerTB]])</f>
        <v>8.4374802666666664</v>
      </c>
      <c r="AC78" s="156">
        <v>30</v>
      </c>
      <c r="AD78" s="157">
        <v>34</v>
      </c>
      <c r="AE78" s="40"/>
    </row>
    <row r="79" spans="1:31" x14ac:dyDescent="0.25">
      <c r="A79" s="1">
        <v>43284</v>
      </c>
      <c r="B79" t="s">
        <v>10</v>
      </c>
      <c r="C79" s="96" t="s">
        <v>17</v>
      </c>
      <c r="D79" s="27" t="s">
        <v>49</v>
      </c>
      <c r="E79" s="81">
        <v>3.5</v>
      </c>
      <c r="F79" s="69">
        <v>2</v>
      </c>
      <c r="G79" s="42">
        <v>7200</v>
      </c>
      <c r="H79" s="5">
        <v>4.16</v>
      </c>
      <c r="I79" s="5"/>
      <c r="J79" s="61">
        <f>(Table5[[#This Row],[RPM]]/5400-1)</f>
        <v>0.33333333333333326</v>
      </c>
      <c r="K79" s="45">
        <v>195</v>
      </c>
      <c r="L79">
        <v>5</v>
      </c>
      <c r="M79" s="36">
        <v>600000</v>
      </c>
      <c r="N79">
        <v>300</v>
      </c>
      <c r="O79" s="36">
        <v>1200000</v>
      </c>
      <c r="P79" s="35">
        <v>1000000000000000</v>
      </c>
      <c r="Q79" s="53">
        <f>12*2</f>
        <v>24</v>
      </c>
      <c r="R79" s="5">
        <v>6.5</v>
      </c>
      <c r="S79" s="5">
        <v>4.6100000000000003</v>
      </c>
      <c r="T79" s="108">
        <v>0.8</v>
      </c>
      <c r="U79" s="111">
        <f>(((Table5[[#This Row],[Watts Active]]*Power_On_Hours_Year/1000)*Active_Duty_Cycle)+((Table5[[#This Row],[Watts Idle]]*Power_On_Hours_Year/1000)*(100%-Active_Duty_Cycle)))*CostPerKWH</f>
        <v>5.4654513600000012</v>
      </c>
      <c r="V79" s="142">
        <f>Table5[Energy$year]/Table5[[#This Row],[SizTB]]</f>
        <v>2.7327256800000006</v>
      </c>
      <c r="W79" s="141">
        <v>129.99</v>
      </c>
      <c r="X79" s="6">
        <f>IF(Table5[[#This Row],[Cost]],Table5[[#This Row],[Cost]]/Table5[[#This Row],[SizTB]]*Exchange_Rate,"")</f>
        <v>64.995000000000005</v>
      </c>
      <c r="Y79" s="146">
        <f>Table5[[#This Row],[Cost]]+((CompareWarrYrs-Table5[[#This Row],[Warranty]])*(Incremental_Warr_Yr*Table5[[#This Row],[Cost]]))*Exchange_Rate</f>
        <v>129.99</v>
      </c>
      <c r="Z79" s="6">
        <f>IF(Table5[[#This Row],[$+Warr]],Table5[[#This Row],[$+Warr]]/Table5[[#This Row],[SizTB]],"")</f>
        <v>64.995000000000005</v>
      </c>
      <c r="AA79" s="6">
        <f>IFERROR(Table5[[#This Row],[$PerTB]]/CompareWarrYrs,"")</f>
        <v>12.999000000000001</v>
      </c>
      <c r="AB79" s="6">
        <f>IF(OR(Table5[[#This Row],[$ TB/year]]="",Table5[[#This Row],[Energy$yearPerTB]]=""),"",Table5[[#This Row],[$ TB/year]]+Table5[[#This Row],[Energy$yearPerTB]])</f>
        <v>15.73172568</v>
      </c>
      <c r="AC79" s="156">
        <v>30</v>
      </c>
      <c r="AD79" s="157">
        <v>34</v>
      </c>
      <c r="AE79" s="40"/>
    </row>
    <row r="80" spans="1:31" x14ac:dyDescent="0.25">
      <c r="A80" s="1">
        <v>43284</v>
      </c>
      <c r="B80" t="s">
        <v>10</v>
      </c>
      <c r="C80" s="96" t="s">
        <v>17</v>
      </c>
      <c r="D80" s="27" t="s">
        <v>49</v>
      </c>
      <c r="E80" s="81">
        <v>3.5</v>
      </c>
      <c r="F80" s="69">
        <v>4</v>
      </c>
      <c r="G80" s="42">
        <v>7200</v>
      </c>
      <c r="H80" s="5">
        <v>4.16</v>
      </c>
      <c r="I80" s="5"/>
      <c r="J80" s="61">
        <f>(Table5[[#This Row],[RPM]]/5400-1)</f>
        <v>0.33333333333333326</v>
      </c>
      <c r="K80" s="45">
        <v>214</v>
      </c>
      <c r="L80">
        <v>5</v>
      </c>
      <c r="M80" s="36">
        <v>600000</v>
      </c>
      <c r="N80">
        <v>300</v>
      </c>
      <c r="O80" s="36">
        <v>1200000</v>
      </c>
      <c r="P80" s="35">
        <v>1000000000000000</v>
      </c>
      <c r="Q80" s="53">
        <f>12*2</f>
        <v>24</v>
      </c>
      <c r="R80" s="5">
        <v>8.5</v>
      </c>
      <c r="S80" s="5">
        <v>5.45</v>
      </c>
      <c r="T80" s="108">
        <v>0.6</v>
      </c>
      <c r="U80" s="111">
        <f>(((Table5[[#This Row],[Watts Active]]*Power_On_Hours_Year/1000)*Active_Duty_Cycle)+((Table5[[#This Row],[Watts Idle]]*Power_On_Hours_Year/1000)*(100%-Active_Duty_Cycle)))*CostPerKWH</f>
        <v>6.6400632000000002</v>
      </c>
      <c r="V80" s="142">
        <f>Table5[Energy$year]/Table5[[#This Row],[SizTB]]</f>
        <v>1.6600158</v>
      </c>
      <c r="W80" s="141">
        <v>174.99</v>
      </c>
      <c r="X80" s="6">
        <f>IF(Table5[[#This Row],[Cost]],Table5[[#This Row],[Cost]]/Table5[[#This Row],[SizTB]]*Exchange_Rate,"")</f>
        <v>43.747500000000002</v>
      </c>
      <c r="Y80" s="146">
        <f>Table5[[#This Row],[Cost]]+((CompareWarrYrs-Table5[[#This Row],[Warranty]])*(Incremental_Warr_Yr*Table5[[#This Row],[Cost]]))*Exchange_Rate</f>
        <v>174.99</v>
      </c>
      <c r="Z80" s="6">
        <f>IF(Table5[[#This Row],[$+Warr]],Table5[[#This Row],[$+Warr]]/Table5[[#This Row],[SizTB]],"")</f>
        <v>43.747500000000002</v>
      </c>
      <c r="AA80" s="6">
        <f>IFERROR(Table5[[#This Row],[$PerTB]]/CompareWarrYrs,"")</f>
        <v>8.7495000000000012</v>
      </c>
      <c r="AB80" s="6">
        <f>IF(OR(Table5[[#This Row],[$ TB/year]]="",Table5[[#This Row],[Energy$yearPerTB]]=""),"",Table5[[#This Row],[$ TB/year]]+Table5[[#This Row],[Energy$yearPerTB]])</f>
        <v>10.409515800000001</v>
      </c>
      <c r="AC80" s="156">
        <v>30</v>
      </c>
      <c r="AD80" s="157">
        <v>34</v>
      </c>
      <c r="AE80" s="40"/>
    </row>
    <row r="81" spans="1:31" x14ac:dyDescent="0.25">
      <c r="A81" s="1">
        <v>43298</v>
      </c>
      <c r="B81" t="s">
        <v>10</v>
      </c>
      <c r="C81" s="96" t="s">
        <v>17</v>
      </c>
      <c r="D81" s="27" t="s">
        <v>49</v>
      </c>
      <c r="E81" s="81">
        <v>3.5</v>
      </c>
      <c r="F81" s="69">
        <v>6</v>
      </c>
      <c r="G81" s="42">
        <v>7200</v>
      </c>
      <c r="H81" s="5">
        <v>4.16</v>
      </c>
      <c r="I81" s="5"/>
      <c r="J81" s="61">
        <f>(Table5[[#This Row],[RPM]]/5400-1)</f>
        <v>0.33333333333333326</v>
      </c>
      <c r="K81" s="45">
        <v>214</v>
      </c>
      <c r="L81">
        <v>5</v>
      </c>
      <c r="M81" s="36">
        <v>600000</v>
      </c>
      <c r="N81">
        <v>300</v>
      </c>
      <c r="O81" s="36">
        <v>1200000</v>
      </c>
      <c r="P81" s="35">
        <v>1000000000000000</v>
      </c>
      <c r="Q81" s="53">
        <f>12*2</f>
        <v>24</v>
      </c>
      <c r="R81" s="5">
        <v>8.1</v>
      </c>
      <c r="S81" s="5">
        <v>7.5</v>
      </c>
      <c r="T81" s="108">
        <v>0.6</v>
      </c>
      <c r="U81" s="111">
        <f>(((Table5[[#This Row],[Watts Active]]*Power_On_Hours_Year/1000)*Active_Duty_Cycle)+((Table5[[#This Row],[Watts Idle]]*Power_On_Hours_Year/1000)*(100%-Active_Duty_Cycle)))*CostPerKWH</f>
        <v>8.3493864000000002</v>
      </c>
      <c r="V81" s="142">
        <f>Table5[Energy$year]/Table5[[#This Row],[SizTB]]</f>
        <v>1.3915644</v>
      </c>
      <c r="W81" s="141">
        <v>160.99</v>
      </c>
      <c r="X81" s="6">
        <f>IF(Table5[[#This Row],[Cost]],Table5[[#This Row],[Cost]]/Table5[[#This Row],[SizTB]]*Exchange_Rate,"")</f>
        <v>26.831666666666667</v>
      </c>
      <c r="Y81" s="146">
        <f>Table5[[#This Row],[Cost]]+((CompareWarrYrs-Table5[[#This Row],[Warranty]])*(Incremental_Warr_Yr*Table5[[#This Row],[Cost]]))*Exchange_Rate</f>
        <v>160.99</v>
      </c>
      <c r="Z81" s="6">
        <f>IF(Table5[[#This Row],[$+Warr]],Table5[[#This Row],[$+Warr]]/Table5[[#This Row],[SizTB]],"")</f>
        <v>26.831666666666667</v>
      </c>
      <c r="AA81" s="6">
        <f>IFERROR(Table5[[#This Row],[$PerTB]]/CompareWarrYrs,"")</f>
        <v>5.3663333333333334</v>
      </c>
      <c r="AB81" s="6">
        <f>IF(OR(Table5[[#This Row],[$ TB/year]]="",Table5[[#This Row],[Energy$yearPerTB]]=""),"",Table5[[#This Row],[$ TB/year]]+Table5[[#This Row],[Energy$yearPerTB]])</f>
        <v>6.7578977333333334</v>
      </c>
      <c r="AC81" s="156">
        <v>30</v>
      </c>
      <c r="AD81" s="157">
        <v>34</v>
      </c>
      <c r="AE81" s="40"/>
    </row>
    <row r="82" spans="1:31" x14ac:dyDescent="0.25">
      <c r="A82" s="1">
        <v>43284</v>
      </c>
      <c r="B82" t="s">
        <v>10</v>
      </c>
      <c r="C82" s="96" t="s">
        <v>17</v>
      </c>
      <c r="D82" s="27" t="s">
        <v>49</v>
      </c>
      <c r="E82" s="81">
        <v>3.5</v>
      </c>
      <c r="F82" s="69">
        <v>8</v>
      </c>
      <c r="G82" s="42">
        <v>7200</v>
      </c>
      <c r="H82" s="5">
        <v>4.16</v>
      </c>
      <c r="I82" s="5"/>
      <c r="J82" s="61">
        <f>(Table5[[#This Row],[RPM]]/5400-1)</f>
        <v>0.33333333333333326</v>
      </c>
      <c r="K82" s="45">
        <v>214</v>
      </c>
      <c r="L82">
        <v>5</v>
      </c>
      <c r="M82" s="36">
        <v>600000</v>
      </c>
      <c r="N82">
        <v>300</v>
      </c>
      <c r="O82" s="36">
        <v>1200000</v>
      </c>
      <c r="P82" s="35">
        <v>1000000000000000</v>
      </c>
      <c r="Q82" s="53">
        <f>12*2</f>
        <v>24</v>
      </c>
      <c r="R82" s="5">
        <v>7.4</v>
      </c>
      <c r="S82" s="5">
        <v>4.4000000000000004</v>
      </c>
      <c r="T82" s="108">
        <v>0.8</v>
      </c>
      <c r="U82" s="111">
        <f>(((Table5[[#This Row],[Watts Active]]*Power_On_Hours_Year/1000)*Active_Duty_Cycle)+((Table5[[#This Row],[Watts Idle]]*Power_On_Hours_Year/1000)*(100%-Active_Duty_Cycle)))*CostPerKWH</f>
        <v>5.478600000000001</v>
      </c>
      <c r="V82" s="142">
        <f>Table5[Energy$year]/Table5[[#This Row],[SizTB]]</f>
        <v>0.68482500000000013</v>
      </c>
      <c r="W82" s="141">
        <v>289.99</v>
      </c>
      <c r="X82" s="6">
        <f>IF(Table5[[#This Row],[Cost]],Table5[[#This Row],[Cost]]/Table5[[#This Row],[SizTB]]*Exchange_Rate,"")</f>
        <v>36.248750000000001</v>
      </c>
      <c r="Y82" s="146">
        <f>Table5[[#This Row],[Cost]]+((CompareWarrYrs-Table5[[#This Row],[Warranty]])*(Incremental_Warr_Yr*Table5[[#This Row],[Cost]]))*Exchange_Rate</f>
        <v>289.99</v>
      </c>
      <c r="Z82" s="6">
        <f>IF(Table5[[#This Row],[$+Warr]],Table5[[#This Row],[$+Warr]]/Table5[[#This Row],[SizTB]],"")</f>
        <v>36.248750000000001</v>
      </c>
      <c r="AA82" s="6">
        <f>IFERROR(Table5[[#This Row],[$PerTB]]/CompareWarrYrs,"")</f>
        <v>7.2497500000000006</v>
      </c>
      <c r="AB82" s="6">
        <f>IF(OR(Table5[[#This Row],[$ TB/year]]="",Table5[[#This Row],[Energy$yearPerTB]]=""),"",Table5[[#This Row],[$ TB/year]]+Table5[[#This Row],[Energy$yearPerTB]])</f>
        <v>7.9345750000000006</v>
      </c>
      <c r="AC82" s="156">
        <v>30</v>
      </c>
      <c r="AD82" s="157">
        <v>34</v>
      </c>
      <c r="AE82" s="40"/>
    </row>
    <row r="83" spans="1:31" x14ac:dyDescent="0.25">
      <c r="A83" s="1">
        <v>43306</v>
      </c>
      <c r="B83" t="s">
        <v>10</v>
      </c>
      <c r="C83" s="96" t="s">
        <v>17</v>
      </c>
      <c r="D83" s="27" t="s">
        <v>49</v>
      </c>
      <c r="E83" s="81">
        <v>3.5</v>
      </c>
      <c r="F83" s="69">
        <v>10</v>
      </c>
      <c r="G83" s="42">
        <v>7200</v>
      </c>
      <c r="H83" s="5">
        <v>4.16</v>
      </c>
      <c r="I83" s="5"/>
      <c r="J83" s="61">
        <f>(Table5[[#This Row],[RPM]]/5400-1)</f>
        <v>0.33333333333333326</v>
      </c>
      <c r="K83" s="45">
        <v>214</v>
      </c>
      <c r="L83">
        <v>5</v>
      </c>
      <c r="M83" s="36">
        <v>600000</v>
      </c>
      <c r="N83">
        <v>300</v>
      </c>
      <c r="O83" s="36">
        <v>1200000</v>
      </c>
      <c r="P83" s="35">
        <v>1000000000000000</v>
      </c>
      <c r="Q83" s="53">
        <v>24</v>
      </c>
      <c r="R83" s="5">
        <v>7.4</v>
      </c>
      <c r="S83" s="5">
        <v>5</v>
      </c>
      <c r="T83" s="108">
        <v>0.8</v>
      </c>
      <c r="U83" s="111">
        <f>(((Table5[[#This Row],[Watts Active]]*Power_On_Hours_Year/1000)*Active_Duty_Cycle)+((Table5[[#This Row],[Watts Idle]]*Power_On_Hours_Year/1000)*(100%-Active_Duty_Cycle)))*CostPerKWH</f>
        <v>6.0045456000000001</v>
      </c>
      <c r="V83" s="142">
        <f>Table5[Energy$year]/Table5[[#This Row],[SizTB]]</f>
        <v>0.60045455999999997</v>
      </c>
      <c r="W83" s="141">
        <v>334.99</v>
      </c>
      <c r="X83" s="6">
        <f>IF(Table5[[#This Row],[Cost]],Table5[[#This Row],[Cost]]/Table5[[#This Row],[SizTB]]*Exchange_Rate,"")</f>
        <v>33.499000000000002</v>
      </c>
      <c r="Y83" s="146">
        <f>Table5[[#This Row],[Cost]]+((CompareWarrYrs-Table5[[#This Row],[Warranty]])*(Incremental_Warr_Yr*Table5[[#This Row],[Cost]]))*Exchange_Rate</f>
        <v>334.99</v>
      </c>
      <c r="Z83" s="6">
        <f>IF(Table5[[#This Row],[$+Warr]],Table5[[#This Row],[$+Warr]]/Table5[[#This Row],[SizTB]],"")</f>
        <v>33.499000000000002</v>
      </c>
      <c r="AA83" s="6">
        <f>IFERROR(Table5[[#This Row],[$PerTB]]/CompareWarrYrs,"")</f>
        <v>6.6998000000000006</v>
      </c>
      <c r="AB83" s="6">
        <f>IF(OR(Table5[[#This Row],[$ TB/year]]="",Table5[[#This Row],[Energy$yearPerTB]]=""),"",Table5[[#This Row],[$ TB/year]]+Table5[[#This Row],[Energy$yearPerTB]])</f>
        <v>7.3002545600000008</v>
      </c>
      <c r="AC83" s="156">
        <v>30</v>
      </c>
      <c r="AD83" s="157">
        <v>34</v>
      </c>
      <c r="AE83" s="40"/>
    </row>
    <row r="84" spans="1:31" x14ac:dyDescent="0.25">
      <c r="A84" s="1">
        <v>43306</v>
      </c>
      <c r="B84" t="s">
        <v>10</v>
      </c>
      <c r="C84" s="96" t="s">
        <v>17</v>
      </c>
      <c r="D84" s="107" t="s">
        <v>49</v>
      </c>
      <c r="E84" s="81">
        <v>3.5</v>
      </c>
      <c r="F84" s="69">
        <v>12</v>
      </c>
      <c r="G84" s="42">
        <v>7200</v>
      </c>
      <c r="H84" s="5">
        <v>4.16</v>
      </c>
      <c r="I84" s="5"/>
      <c r="J84" s="61">
        <f>(Table5[[#This Row],[RPM]]/5400-1)</f>
        <v>0.33333333333333326</v>
      </c>
      <c r="K84" s="45">
        <v>250</v>
      </c>
      <c r="L84">
        <v>5</v>
      </c>
      <c r="M84" s="36">
        <v>600000</v>
      </c>
      <c r="N84">
        <v>300</v>
      </c>
      <c r="O84" s="36">
        <v>1200000</v>
      </c>
      <c r="P84" s="35">
        <v>1000000000000000</v>
      </c>
      <c r="Q84" s="53">
        <v>24</v>
      </c>
      <c r="R84" s="5">
        <v>7.8</v>
      </c>
      <c r="S84" s="5">
        <v>5</v>
      </c>
      <c r="T84" s="108">
        <v>0.8</v>
      </c>
      <c r="U84" s="111">
        <f>(((Table5[[#This Row],[Watts Active]]*Power_On_Hours_Year/1000)*Active_Duty_Cycle)+((Table5[[#This Row],[Watts Idle]]*Power_On_Hours_Year/1000)*(100%-Active_Duty_Cycle)))*CostPerKWH</f>
        <v>6.0922032000000002</v>
      </c>
      <c r="V84" s="142">
        <f>Table5[Energy$year]/Table5[[#This Row],[SizTB]]</f>
        <v>0.50768360000000001</v>
      </c>
      <c r="W84" s="141">
        <v>453.97</v>
      </c>
      <c r="X84" s="6">
        <f>IF(Table5[[#This Row],[Cost]],Table5[[#This Row],[Cost]]/Table5[[#This Row],[SizTB]]*Exchange_Rate,"")</f>
        <v>37.830833333333338</v>
      </c>
      <c r="Y84" s="146">
        <f>Table5[[#This Row],[Cost]]+((CompareWarrYrs-Table5[[#This Row],[Warranty]])*(Incremental_Warr_Yr*Table5[[#This Row],[Cost]]))*Exchange_Rate</f>
        <v>453.97</v>
      </c>
      <c r="Z84" s="6">
        <f>IF(Table5[[#This Row],[$+Warr]],Table5[[#This Row],[$+Warr]]/Table5[[#This Row],[SizTB]],"")</f>
        <v>37.830833333333338</v>
      </c>
      <c r="AA84" s="6">
        <f>IFERROR(Table5[[#This Row],[$PerTB]]/CompareWarrYrs,"")</f>
        <v>7.5661666666666676</v>
      </c>
      <c r="AB84" s="6">
        <f>IF(OR(Table5[[#This Row],[$ TB/year]]="",Table5[[#This Row],[Energy$yearPerTB]]=""),"",Table5[[#This Row],[$ TB/year]]+Table5[[#This Row],[Energy$yearPerTB]])</f>
        <v>8.0738502666666676</v>
      </c>
      <c r="AC84" s="156">
        <v>30</v>
      </c>
      <c r="AD84" s="157">
        <v>34</v>
      </c>
      <c r="AE84" s="40"/>
    </row>
    <row r="85" spans="1:31" ht="15.75" thickBot="1" x14ac:dyDescent="0.3">
      <c r="A85" s="178">
        <v>43166</v>
      </c>
      <c r="B85" s="177" t="s">
        <v>10</v>
      </c>
      <c r="C85" s="179" t="s">
        <v>14</v>
      </c>
      <c r="D85" s="180" t="s">
        <v>49</v>
      </c>
      <c r="E85" s="181">
        <v>3.5</v>
      </c>
      <c r="F85" s="181">
        <v>4</v>
      </c>
      <c r="G85" s="182">
        <v>5900</v>
      </c>
      <c r="H85" s="137">
        <v>5.0999999999999996</v>
      </c>
      <c r="I85" s="137">
        <v>16</v>
      </c>
      <c r="J85" s="183">
        <f>(Table5[[#This Row],[RPM]]/5400-1)</f>
        <v>9.259259259259256E-2</v>
      </c>
      <c r="K85" s="184">
        <v>140</v>
      </c>
      <c r="L85" s="177">
        <v>3</v>
      </c>
      <c r="M85" s="185">
        <v>300000</v>
      </c>
      <c r="N85" s="177">
        <v>180</v>
      </c>
      <c r="O85" s="185">
        <v>800000</v>
      </c>
      <c r="P85" s="138">
        <f t="shared" ref="P85:P88" si="10">10^14</f>
        <v>100000000000000</v>
      </c>
      <c r="Q85" s="186">
        <v>24</v>
      </c>
      <c r="R85" s="137">
        <v>6.49</v>
      </c>
      <c r="S85" s="137">
        <v>4.59</v>
      </c>
      <c r="T85" s="187">
        <v>0.77</v>
      </c>
      <c r="U85" s="188">
        <f>(((Table5[[#This Row],[Watts Active]]*Power_On_Hours_Year/1000)*Active_Duty_Cycle)+((Table5[[#This Row],[Watts Idle]]*Power_On_Hours_Year/1000)*(100%-Active_Duty_Cycle)))*CostPerKWH</f>
        <v>5.4457284000000001</v>
      </c>
      <c r="V85" s="143">
        <f>Table5[Energy$year]/Table5[[#This Row],[SizTB]]</f>
        <v>1.3614321</v>
      </c>
      <c r="W85" s="189">
        <v>176.12</v>
      </c>
      <c r="X85" s="176">
        <f>IF(Table5[[#This Row],[Cost]],Table5[[#This Row],[Cost]]/Table5[[#This Row],[SizTB]]*Exchange_Rate,"")</f>
        <v>44.03</v>
      </c>
      <c r="Y85" s="149">
        <f>Table5[[#This Row],[Cost]]+((CompareWarrYrs-Table5[[#This Row],[Warranty]])*(Incremental_Warr_Yr*Table5[[#This Row],[Cost]]))*Exchange_Rate</f>
        <v>214.8664</v>
      </c>
      <c r="Z85" s="149">
        <f>IF(Table5[[#This Row],[$+Warr]],Table5[[#This Row],[$+Warr]]/Table5[[#This Row],[SizTB]],"")</f>
        <v>53.7166</v>
      </c>
      <c r="AA85" s="149">
        <f>IFERROR(Table5[[#This Row],[$PerTB]]/CompareWarrYrs,"")</f>
        <v>10.743320000000001</v>
      </c>
      <c r="AB85" s="176">
        <f>IF(OR(Table5[[#This Row],[$ TB/year]]="",Table5[[#This Row],[Energy$yearPerTB]]=""),"",Table5[[#This Row],[$ TB/year]]+Table5[[#This Row],[Energy$yearPerTB]])</f>
        <v>12.104752100000001</v>
      </c>
      <c r="AC85" s="165"/>
      <c r="AD85" s="166"/>
      <c r="AE85" s="190"/>
    </row>
    <row r="86" spans="1:31" ht="15.75" thickTop="1" x14ac:dyDescent="0.25">
      <c r="A86" s="1">
        <v>43259</v>
      </c>
      <c r="B86" t="s">
        <v>41</v>
      </c>
      <c r="C86" s="96" t="s">
        <v>141</v>
      </c>
      <c r="D86" s="107" t="s">
        <v>127</v>
      </c>
      <c r="E86" s="81">
        <v>3.5</v>
      </c>
      <c r="F86" s="69">
        <v>1</v>
      </c>
      <c r="G86" s="42">
        <v>7200</v>
      </c>
      <c r="H86" s="5">
        <v>4.17</v>
      </c>
      <c r="I86" s="5"/>
      <c r="J86" s="61">
        <f>(Table5[[#This Row],[RPM]]/5400-1)</f>
        <v>0.33333333333333326</v>
      </c>
      <c r="K86" s="45">
        <v>182.2</v>
      </c>
      <c r="L86">
        <v>2</v>
      </c>
      <c r="M86" s="36"/>
      <c r="O86" s="36"/>
      <c r="P86" s="35">
        <f t="shared" si="10"/>
        <v>100000000000000</v>
      </c>
      <c r="Q86" s="53"/>
      <c r="R86" s="5">
        <v>6.4</v>
      </c>
      <c r="S86" s="5">
        <v>3.7</v>
      </c>
      <c r="T86" s="108"/>
      <c r="U86" s="111">
        <f>(((Table5[[#This Row],[Watts Active]]*Power_On_Hours_Year/1000)*Active_Duty_Cycle)+((Table5[[#This Row],[Watts Idle]]*Power_On_Hours_Year/1000)*(100%-Active_Duty_Cycle)))*CostPerKWH</f>
        <v>4.6458528000000001</v>
      </c>
      <c r="V86" s="142">
        <f>Table5[Energy$year]/Table5[[#This Row],[SizTB]]</f>
        <v>4.6458528000000001</v>
      </c>
      <c r="W86" s="141">
        <v>39.99</v>
      </c>
      <c r="X86" s="6">
        <f>IF(Table5[[#This Row],[Cost]],Table5[[#This Row],[Cost]]/Table5[[#This Row],[SizTB]]*Exchange_Rate,"")</f>
        <v>39.99</v>
      </c>
      <c r="Y86" s="146">
        <f>Table5[[#This Row],[Cost]]+((CompareWarrYrs-Table5[[#This Row],[Warranty]])*(Incremental_Warr_Yr*Table5[[#This Row],[Cost]]))*Exchange_Rate</f>
        <v>53.186700000000002</v>
      </c>
      <c r="Z86" s="6">
        <f>IF(Table5[[#This Row],[$+Warr]],Table5[[#This Row],[$+Warr]]/Table5[[#This Row],[SizTB]],"")</f>
        <v>53.186700000000002</v>
      </c>
      <c r="AA86" s="6">
        <f>IFERROR(Table5[[#This Row],[$PerTB]]/CompareWarrYrs,"")</f>
        <v>10.63734</v>
      </c>
      <c r="AB86" s="6">
        <f>IF(OR(Table5[[#This Row],[$ TB/year]]="",Table5[[#This Row],[Energy$yearPerTB]]=""),"",Table5[[#This Row],[$ TB/year]]+Table5[[#This Row],[Energy$yearPerTB]])</f>
        <v>15.2831928</v>
      </c>
      <c r="AC86" s="156"/>
      <c r="AD86" s="157"/>
      <c r="AE86" s="152"/>
    </row>
    <row r="87" spans="1:31" x14ac:dyDescent="0.25">
      <c r="A87" s="1">
        <v>43126</v>
      </c>
      <c r="B87" t="s">
        <v>41</v>
      </c>
      <c r="C87" s="96" t="s">
        <v>141</v>
      </c>
      <c r="D87" s="107" t="s">
        <v>127</v>
      </c>
      <c r="E87" s="81">
        <v>3.5</v>
      </c>
      <c r="F87" s="69">
        <v>2</v>
      </c>
      <c r="G87" s="42">
        <v>7200</v>
      </c>
      <c r="H87" s="5">
        <v>4.17</v>
      </c>
      <c r="I87" s="5"/>
      <c r="J87" s="61">
        <f>(Table5[[#This Row],[RPM]]/5400-1)</f>
        <v>0.33333333333333326</v>
      </c>
      <c r="K87" s="45">
        <v>181.5</v>
      </c>
      <c r="L87">
        <v>2</v>
      </c>
      <c r="M87" s="36"/>
      <c r="O87" s="36"/>
      <c r="P87" s="35">
        <f t="shared" si="10"/>
        <v>100000000000000</v>
      </c>
      <c r="Q87" s="53"/>
      <c r="R87" s="5">
        <v>6.4</v>
      </c>
      <c r="S87" s="5">
        <v>5.2</v>
      </c>
      <c r="T87" s="108"/>
      <c r="U87" s="111">
        <f>(((Table5[[#This Row],[Watts Active]]*Power_On_Hours_Year/1000)*Active_Duty_Cycle)+((Table5[[#This Row],[Watts Idle]]*Power_On_Hours_Year/1000)*(100%-Active_Duty_Cycle)))*CostPerKWH</f>
        <v>5.960716800000001</v>
      </c>
      <c r="V87" s="142">
        <f>Table5[Energy$year]/Table5[[#This Row],[SizTB]]</f>
        <v>2.9803584000000005</v>
      </c>
      <c r="W87" s="141">
        <v>54.99</v>
      </c>
      <c r="X87" s="6">
        <f>IF(Table5[[#This Row],[Cost]],Table5[[#This Row],[Cost]]/Table5[[#This Row],[SizTB]]*Exchange_Rate,"")</f>
        <v>27.495000000000001</v>
      </c>
      <c r="Y87" s="146">
        <f>Table5[[#This Row],[Cost]]+((CompareWarrYrs-Table5[[#This Row],[Warranty]])*(Incremental_Warr_Yr*Table5[[#This Row],[Cost]]))*Exchange_Rate</f>
        <v>73.136700000000005</v>
      </c>
      <c r="Z87" s="6">
        <f>IF(Table5[[#This Row],[$+Warr]],Table5[[#This Row],[$+Warr]]/Table5[[#This Row],[SizTB]],"")</f>
        <v>36.568350000000002</v>
      </c>
      <c r="AA87" s="6">
        <f>IFERROR(Table5[[#This Row],[$PerTB]]/CompareWarrYrs,"")</f>
        <v>7.3136700000000001</v>
      </c>
      <c r="AB87" s="6">
        <f>IF(OR(Table5[[#This Row],[$ TB/year]]="",Table5[[#This Row],[Energy$yearPerTB]]=""),"",Table5[[#This Row],[$ TB/year]]+Table5[[#This Row],[Energy$yearPerTB]])</f>
        <v>10.2940284</v>
      </c>
      <c r="AC87" s="156"/>
      <c r="AD87" s="157"/>
      <c r="AE87" s="152"/>
    </row>
    <row r="88" spans="1:31" x14ac:dyDescent="0.25">
      <c r="A88" s="1">
        <v>43080</v>
      </c>
      <c r="B88" t="s">
        <v>41</v>
      </c>
      <c r="C88" s="96" t="s">
        <v>141</v>
      </c>
      <c r="D88" s="107" t="s">
        <v>127</v>
      </c>
      <c r="E88" s="81">
        <v>3.5</v>
      </c>
      <c r="F88" s="69">
        <v>3</v>
      </c>
      <c r="G88" s="42">
        <v>7200</v>
      </c>
      <c r="H88" s="5">
        <v>4.17</v>
      </c>
      <c r="I88" s="5"/>
      <c r="J88" s="61">
        <f>(Table5[[#This Row],[RPM]]/5400-1)</f>
        <v>0.33333333333333326</v>
      </c>
      <c r="K88" s="45">
        <v>181.5</v>
      </c>
      <c r="L88">
        <v>2</v>
      </c>
      <c r="M88" s="36"/>
      <c r="O88" s="36"/>
      <c r="P88" s="35">
        <f t="shared" si="10"/>
        <v>100000000000000</v>
      </c>
      <c r="Q88" s="53"/>
      <c r="R88" s="5">
        <v>6.4</v>
      </c>
      <c r="S88" s="5">
        <v>5.2</v>
      </c>
      <c r="T88" s="108"/>
      <c r="U88" s="111">
        <f>(((Table5[[#This Row],[Watts Active]]*Power_On_Hours_Year/1000)*Active_Duty_Cycle)+((Table5[[#This Row],[Watts Idle]]*Power_On_Hours_Year/1000)*(100%-Active_Duty_Cycle)))*CostPerKWH</f>
        <v>5.960716800000001</v>
      </c>
      <c r="V88" s="142">
        <f>Table5[Energy$year]/Table5[[#This Row],[SizTB]]</f>
        <v>1.9869056000000003</v>
      </c>
      <c r="W88" s="141">
        <v>96.67</v>
      </c>
      <c r="X88" s="6">
        <f>IF(Table5[[#This Row],[Cost]],Table5[[#This Row],[Cost]]/Table5[[#This Row],[SizTB]]*Exchange_Rate,"")</f>
        <v>32.223333333333336</v>
      </c>
      <c r="Y88" s="146">
        <f>Table5[[#This Row],[Cost]]+((CompareWarrYrs-Table5[[#This Row],[Warranty]])*(Incremental_Warr_Yr*Table5[[#This Row],[Cost]]))*Exchange_Rate</f>
        <v>128.5711</v>
      </c>
      <c r="Z88" s="6">
        <f>IF(Table5[[#This Row],[$+Warr]],Table5[[#This Row],[$+Warr]]/Table5[[#This Row],[SizTB]],"")</f>
        <v>42.857033333333334</v>
      </c>
      <c r="AA88" s="6">
        <f>IFERROR(Table5[[#This Row],[$PerTB]]/CompareWarrYrs,"")</f>
        <v>8.5714066666666664</v>
      </c>
      <c r="AB88" s="6">
        <f>IF(OR(Table5[[#This Row],[$ TB/year]]="",Table5[[#This Row],[Energy$yearPerTB]]=""),"",Table5[[#This Row],[$ TB/year]]+Table5[[#This Row],[Energy$yearPerTB]])</f>
        <v>10.558312266666666</v>
      </c>
      <c r="AC88" s="156"/>
      <c r="AD88" s="157"/>
      <c r="AE88" s="152"/>
    </row>
    <row r="89" spans="1:31" x14ac:dyDescent="0.25">
      <c r="A89" s="104">
        <v>43044</v>
      </c>
      <c r="B89" t="s">
        <v>41</v>
      </c>
      <c r="C89" s="105" t="s">
        <v>114</v>
      </c>
      <c r="D89" s="82" t="s">
        <v>49</v>
      </c>
      <c r="E89" s="100">
        <v>3.5</v>
      </c>
      <c r="F89" s="100">
        <v>6</v>
      </c>
      <c r="G89" s="42">
        <v>7200</v>
      </c>
      <c r="H89" s="5"/>
      <c r="I89" s="5">
        <v>8.5</v>
      </c>
      <c r="J89" s="61">
        <f>(Table5[[#This Row],[RPM]]/5400-1)</f>
        <v>0.33333333333333326</v>
      </c>
      <c r="K89" s="45">
        <v>230</v>
      </c>
      <c r="L89" s="7">
        <v>5</v>
      </c>
      <c r="M89" s="36">
        <v>600000</v>
      </c>
      <c r="N89" s="7">
        <v>550</v>
      </c>
      <c r="O89" s="106">
        <v>2500000</v>
      </c>
      <c r="P89" s="35">
        <f t="shared" ref="P89:P90" si="11">10^16</f>
        <v>1E+16</v>
      </c>
      <c r="Q89" s="53"/>
      <c r="R89" s="5">
        <v>8.3000000000000007</v>
      </c>
      <c r="S89" s="5">
        <v>5.6</v>
      </c>
      <c r="T89" s="108"/>
      <c r="U89" s="111">
        <f>(((Table5[[#This Row],[Watts Active]]*Power_On_Hours_Year/1000)*Active_Duty_Cycle)+((Table5[[#This Row],[Watts Idle]]*Power_On_Hours_Year/1000)*(100%-Active_Duty_Cycle)))*CostPerKWH</f>
        <v>6.7277208000000002</v>
      </c>
      <c r="V89" s="142">
        <f>Table5[Energy$year]/Table5[[#This Row],[SizTB]]</f>
        <v>1.1212868</v>
      </c>
      <c r="W89" s="141">
        <v>204</v>
      </c>
      <c r="X89" s="6">
        <f>IF(Table5[[#This Row],[Cost]],Table5[[#This Row],[Cost]]/Table5[[#This Row],[SizTB]]*Exchange_Rate,"")</f>
        <v>34</v>
      </c>
      <c r="Y89" s="146">
        <f>Table5[[#This Row],[Cost]]+((CompareWarrYrs-Table5[[#This Row],[Warranty]])*(Incremental_Warr_Yr*Table5[[#This Row],[Cost]]))*Exchange_Rate</f>
        <v>204</v>
      </c>
      <c r="Z89" s="6">
        <f>IF(Table5[[#This Row],[$+Warr]],Table5[[#This Row],[$+Warr]]/Table5[[#This Row],[SizTB]],"")</f>
        <v>34</v>
      </c>
      <c r="AA89" s="6">
        <f>IFERROR(Table5[[#This Row],[$PerTB]]/CompareWarrYrs,"")</f>
        <v>6.8</v>
      </c>
      <c r="AB89" s="6">
        <f>IF(OR(Table5[[#This Row],[$ TB/year]]="",Table5[[#This Row],[Energy$yearPerTB]]=""),"",Table5[[#This Row],[$ TB/year]]+Table5[[#This Row],[Energy$yearPerTB]])</f>
        <v>7.9212867999999999</v>
      </c>
      <c r="AC89" s="156">
        <v>34</v>
      </c>
      <c r="AD89" s="157"/>
      <c r="AE89" s="152" t="s">
        <v>142</v>
      </c>
    </row>
    <row r="90" spans="1:31" x14ac:dyDescent="0.25">
      <c r="A90" s="104">
        <v>43080</v>
      </c>
      <c r="B90" t="s">
        <v>41</v>
      </c>
      <c r="C90" s="105" t="s">
        <v>114</v>
      </c>
      <c r="D90" s="82" t="s">
        <v>49</v>
      </c>
      <c r="E90" s="100">
        <v>3.5</v>
      </c>
      <c r="F90" s="100">
        <v>8</v>
      </c>
      <c r="G90" s="42">
        <v>7200</v>
      </c>
      <c r="H90" s="5"/>
      <c r="I90" s="5">
        <v>8.5</v>
      </c>
      <c r="J90" s="61">
        <f>(Table5[[#This Row],[RPM]]/5400-1)</f>
        <v>0.33333333333333326</v>
      </c>
      <c r="K90" s="45">
        <v>230</v>
      </c>
      <c r="L90" s="7">
        <v>5</v>
      </c>
      <c r="M90" s="36">
        <v>600000</v>
      </c>
      <c r="N90" s="7">
        <v>550</v>
      </c>
      <c r="O90" s="106">
        <v>2500000</v>
      </c>
      <c r="P90" s="35">
        <f t="shared" si="11"/>
        <v>1E+16</v>
      </c>
      <c r="Q90" s="53"/>
      <c r="R90" s="5">
        <v>9.1</v>
      </c>
      <c r="S90" s="5">
        <v>6.4</v>
      </c>
      <c r="T90" s="108"/>
      <c r="U90" s="111">
        <f>(((Table5[[#This Row],[Watts Active]]*Power_On_Hours_Year/1000)*Active_Duty_Cycle)+((Table5[[#This Row],[Watts Idle]]*Power_On_Hours_Year/1000)*(100%-Active_Duty_Cycle)))*CostPerKWH</f>
        <v>7.6042968000000002</v>
      </c>
      <c r="V90" s="142">
        <f>Table5[Energy$year]/Table5[[#This Row],[SizTB]]</f>
        <v>0.95053710000000002</v>
      </c>
      <c r="W90" s="141">
        <v>259.99</v>
      </c>
      <c r="X90" s="6">
        <f>IF(Table5[[#This Row],[Cost]],Table5[[#This Row],[Cost]]/Table5[[#This Row],[SizTB]]*Exchange_Rate,"")</f>
        <v>32.498750000000001</v>
      </c>
      <c r="Y90" s="146">
        <f>Table5[[#This Row],[Cost]]+((CompareWarrYrs-Table5[[#This Row],[Warranty]])*(Incremental_Warr_Yr*Table5[[#This Row],[Cost]]))*Exchange_Rate</f>
        <v>259.99</v>
      </c>
      <c r="Z90" s="6">
        <f>IF(Table5[[#This Row],[$+Warr]],Table5[[#This Row],[$+Warr]]/Table5[[#This Row],[SizTB]],"")</f>
        <v>32.498750000000001</v>
      </c>
      <c r="AA90" s="6">
        <f>IFERROR(Table5[[#This Row],[$PerTB]]/CompareWarrYrs,"")</f>
        <v>6.4997500000000006</v>
      </c>
      <c r="AB90" s="6">
        <f>IF(OR(Table5[[#This Row],[$ TB/year]]="",Table5[[#This Row],[Energy$yearPerTB]]=""),"",Table5[[#This Row],[$ TB/year]]+Table5[[#This Row],[Energy$yearPerTB]])</f>
        <v>7.4502871000000006</v>
      </c>
      <c r="AC90" s="156">
        <v>34</v>
      </c>
      <c r="AD90" s="157"/>
      <c r="AE90" s="152" t="s">
        <v>142</v>
      </c>
    </row>
    <row r="91" spans="1:31" x14ac:dyDescent="0.25">
      <c r="A91" s="104">
        <v>43044</v>
      </c>
      <c r="B91" t="s">
        <v>41</v>
      </c>
      <c r="C91" s="105" t="s">
        <v>114</v>
      </c>
      <c r="D91" s="82" t="s">
        <v>49</v>
      </c>
      <c r="E91" s="100">
        <v>3.5</v>
      </c>
      <c r="F91" s="100">
        <v>10</v>
      </c>
      <c r="G91" s="42">
        <v>7200</v>
      </c>
      <c r="H91" s="5"/>
      <c r="I91" s="5">
        <v>8.5</v>
      </c>
      <c r="J91" s="61">
        <f>(Table5[[#This Row],[RPM]]/5400-1)</f>
        <v>0.33333333333333326</v>
      </c>
      <c r="K91" s="45">
        <v>237</v>
      </c>
      <c r="L91" s="7">
        <v>5</v>
      </c>
      <c r="M91" s="36">
        <v>600000</v>
      </c>
      <c r="N91" s="7">
        <v>550</v>
      </c>
      <c r="O91" s="106">
        <v>2500000</v>
      </c>
      <c r="P91" s="35">
        <f>10^16</f>
        <v>1E+16</v>
      </c>
      <c r="Q91" s="53"/>
      <c r="R91" s="5">
        <v>10</v>
      </c>
      <c r="S91" s="5">
        <v>7.3</v>
      </c>
      <c r="T91" s="108"/>
      <c r="U91" s="111">
        <f>(((Table5[[#This Row],[Watts Active]]*Power_On_Hours_Year/1000)*Active_Duty_Cycle)+((Table5[[#This Row],[Watts Idle]]*Power_On_Hours_Year/1000)*(100%-Active_Duty_Cycle)))*CostPerKWH</f>
        <v>8.5904448000000002</v>
      </c>
      <c r="V91" s="142">
        <f>Table5[Energy$year]/Table5[[#This Row],[SizTB]]</f>
        <v>0.85904448</v>
      </c>
      <c r="W91" s="141">
        <v>540.67999999999995</v>
      </c>
      <c r="X91" s="6">
        <f>IF(Table5[[#This Row],[Cost]],Table5[[#This Row],[Cost]]/Table5[[#This Row],[SizTB]]*Exchange_Rate,"")</f>
        <v>54.067999999999998</v>
      </c>
      <c r="Y91" s="146">
        <f>Table5[[#This Row],[Cost]]+((CompareWarrYrs-Table5[[#This Row],[Warranty]])*(Incremental_Warr_Yr*Table5[[#This Row],[Cost]]))*Exchange_Rate</f>
        <v>540.67999999999995</v>
      </c>
      <c r="Z91" s="6">
        <f>IF(Table5[[#This Row],[$+Warr]],Table5[[#This Row],[$+Warr]]/Table5[[#This Row],[SizTB]],"")</f>
        <v>54.067999999999998</v>
      </c>
      <c r="AA91" s="6">
        <f>IFERROR(Table5[[#This Row],[$PerTB]]/CompareWarrYrs,"")</f>
        <v>10.813599999999999</v>
      </c>
      <c r="AB91" s="6">
        <f>IF(OR(Table5[[#This Row],[$ TB/year]]="",Table5[[#This Row],[Energy$yearPerTB]]=""),"",Table5[[#This Row],[$ TB/year]]+Table5[[#This Row],[Energy$yearPerTB]])</f>
        <v>11.672644479999999</v>
      </c>
      <c r="AC91" s="156">
        <v>34</v>
      </c>
      <c r="AD91" s="157"/>
      <c r="AE91" s="152" t="s">
        <v>142</v>
      </c>
    </row>
    <row r="92" spans="1:31" x14ac:dyDescent="0.25">
      <c r="A92" s="104">
        <v>43080</v>
      </c>
      <c r="B92" t="s">
        <v>41</v>
      </c>
      <c r="C92" s="105" t="s">
        <v>114</v>
      </c>
      <c r="D92" s="82" t="s">
        <v>49</v>
      </c>
      <c r="E92" s="100">
        <v>3.5</v>
      </c>
      <c r="F92" s="100">
        <v>12</v>
      </c>
      <c r="G92" s="42">
        <v>7200</v>
      </c>
      <c r="H92" s="5"/>
      <c r="I92" s="5"/>
      <c r="J92" s="61">
        <f>(Table5[[#This Row],[RPM]]/5400-1)</f>
        <v>0.33333333333333326</v>
      </c>
      <c r="K92" s="45">
        <v>242</v>
      </c>
      <c r="L92" s="7">
        <v>5</v>
      </c>
      <c r="M92" s="36">
        <v>600000</v>
      </c>
      <c r="N92" s="7">
        <v>550</v>
      </c>
      <c r="O92" s="106">
        <v>2500000</v>
      </c>
      <c r="P92" s="35">
        <f t="shared" ref="P92:P93" si="12">10^16</f>
        <v>1E+16</v>
      </c>
      <c r="Q92" s="53"/>
      <c r="R92" s="5">
        <v>7.5</v>
      </c>
      <c r="S92" s="5">
        <v>3.93</v>
      </c>
      <c r="T92" s="108"/>
      <c r="U92" s="111">
        <f>(((Table5[[#This Row],[Watts Active]]*Power_On_Hours_Year/1000)*Active_Duty_Cycle)+((Table5[[#This Row],[Watts Idle]]*Power_On_Hours_Year/1000)*(100%-Active_Duty_Cycle)))*CostPerKWH</f>
        <v>5.0885236799999998</v>
      </c>
      <c r="V92" s="142">
        <f>Table5[Energy$year]/Table5[[#This Row],[SizTB]]</f>
        <v>0.42404364</v>
      </c>
      <c r="W92" s="140"/>
      <c r="X92" s="6" t="str">
        <f>IF(Table5[[#This Row],[Cost]],Table5[[#This Row],[Cost]]/Table5[[#This Row],[SizTB]]*Exchange_Rate,"")</f>
        <v/>
      </c>
      <c r="Y92" s="146">
        <f>Table5[[#This Row],[Cost]]+((CompareWarrYrs-Table5[[#This Row],[Warranty]])*(Incremental_Warr_Yr*Table5[[#This Row],[Cost]]))*Exchange_Rate</f>
        <v>0</v>
      </c>
      <c r="Z92" s="6" t="str">
        <f>IF(Table5[[#This Row],[$+Warr]],Table5[[#This Row],[$+Warr]]/Table5[[#This Row],[SizTB]],"")</f>
        <v/>
      </c>
      <c r="AA92" s="6" t="str">
        <f>IFERROR(Table5[[#This Row],[$PerTB]]/CompareWarrYrs,"")</f>
        <v/>
      </c>
      <c r="AB92" s="6" t="str">
        <f>IF(OR(Table5[[#This Row],[$ TB/year]]="",Table5[[#This Row],[Energy$yearPerTB]]=""),"",Table5[[#This Row],[$ TB/year]]+Table5[[#This Row],[Energy$yearPerTB]])</f>
        <v/>
      </c>
      <c r="AC92" s="156">
        <v>20</v>
      </c>
      <c r="AD92" s="157"/>
      <c r="AE92" s="153" t="s">
        <v>143</v>
      </c>
    </row>
    <row r="93" spans="1:31" x14ac:dyDescent="0.25">
      <c r="A93" s="104">
        <v>43080</v>
      </c>
      <c r="B93" t="s">
        <v>41</v>
      </c>
      <c r="C93" s="105" t="s">
        <v>114</v>
      </c>
      <c r="D93" s="82" t="s">
        <v>49</v>
      </c>
      <c r="E93" s="100">
        <v>3.5</v>
      </c>
      <c r="F93" s="100">
        <v>14</v>
      </c>
      <c r="G93" s="42">
        <v>7200</v>
      </c>
      <c r="H93" s="5"/>
      <c r="I93" s="5"/>
      <c r="J93" s="61">
        <f>(Table5[[#This Row],[RPM]]/5400-1)</f>
        <v>0.33333333333333326</v>
      </c>
      <c r="K93" s="45">
        <v>248</v>
      </c>
      <c r="L93" s="7">
        <v>5</v>
      </c>
      <c r="M93" s="36">
        <v>600000</v>
      </c>
      <c r="N93" s="7">
        <v>550</v>
      </c>
      <c r="O93" s="106">
        <v>2500000</v>
      </c>
      <c r="P93" s="35">
        <f t="shared" si="12"/>
        <v>1E+16</v>
      </c>
      <c r="Q93" s="53"/>
      <c r="R93" s="5">
        <v>7.8</v>
      </c>
      <c r="S93" s="5">
        <v>4.22</v>
      </c>
      <c r="T93" s="108"/>
      <c r="U93" s="111">
        <f>(((Table5[[#This Row],[Watts Active]]*Power_On_Hours_Year/1000)*Active_Duty_Cycle)+((Table5[[#This Row],[Watts Idle]]*Power_On_Hours_Year/1000)*(100%-Active_Duty_Cycle)))*CostPerKWH</f>
        <v>5.4084739200000005</v>
      </c>
      <c r="V93" s="142">
        <f>Table5[Energy$year]/Table5[[#This Row],[SizTB]]</f>
        <v>0.38631956571428577</v>
      </c>
      <c r="W93" s="140"/>
      <c r="X93" s="6" t="str">
        <f>IF(Table5[[#This Row],[Cost]],Table5[[#This Row],[Cost]]/Table5[[#This Row],[SizTB]]*Exchange_Rate,"")</f>
        <v/>
      </c>
      <c r="Y93" s="146">
        <f>Table5[[#This Row],[Cost]]+((CompareWarrYrs-Table5[[#This Row],[Warranty]])*(Incremental_Warr_Yr*Table5[[#This Row],[Cost]]))*Exchange_Rate</f>
        <v>0</v>
      </c>
      <c r="Z93" s="6" t="str">
        <f>IF(Table5[[#This Row],[$+Warr]],Table5[[#This Row],[$+Warr]]/Table5[[#This Row],[SizTB]],"")</f>
        <v/>
      </c>
      <c r="AA93" s="6" t="str">
        <f>IFERROR(Table5[[#This Row],[$PerTB]]/CompareWarrYrs,"")</f>
        <v/>
      </c>
      <c r="AB93" s="6" t="str">
        <f>IF(OR(Table5[[#This Row],[$ TB/year]]="",Table5[[#This Row],[Energy$yearPerTB]]=""),"",Table5[[#This Row],[$ TB/year]]+Table5[[#This Row],[Energy$yearPerTB]])</f>
        <v/>
      </c>
      <c r="AC93" s="156">
        <v>20</v>
      </c>
      <c r="AD93" s="157"/>
      <c r="AE93" s="153" t="s">
        <v>143</v>
      </c>
    </row>
    <row r="94" spans="1:31" x14ac:dyDescent="0.25">
      <c r="A94" s="104">
        <v>43284</v>
      </c>
      <c r="B94" t="s">
        <v>41</v>
      </c>
      <c r="C94" s="105" t="s">
        <v>113</v>
      </c>
      <c r="D94" s="82" t="s">
        <v>49</v>
      </c>
      <c r="E94" s="100">
        <v>2.5</v>
      </c>
      <c r="F94" s="100">
        <v>1.2</v>
      </c>
      <c r="G94" s="42">
        <v>10500</v>
      </c>
      <c r="H94" s="5">
        <v>2.86</v>
      </c>
      <c r="I94" s="5">
        <v>4</v>
      </c>
      <c r="J94" s="61">
        <f>(Table5[[#This Row],[RPM]]/5400-1)</f>
        <v>0.94444444444444442</v>
      </c>
      <c r="K94" s="45">
        <v>226</v>
      </c>
      <c r="L94" s="7">
        <v>5</v>
      </c>
      <c r="M94" s="106">
        <v>600000</v>
      </c>
      <c r="N94" s="7"/>
      <c r="O94" s="106">
        <v>2000000</v>
      </c>
      <c r="P94" s="35">
        <f>10^17</f>
        <v>1E+17</v>
      </c>
      <c r="Q94" s="53"/>
      <c r="R94" s="5">
        <v>7</v>
      </c>
      <c r="S94" s="5">
        <v>3.5</v>
      </c>
      <c r="T94" s="108"/>
      <c r="U94" s="111">
        <f>(((Table5[[#This Row],[Watts Active]]*Power_On_Hours_Year/1000)*Active_Duty_Cycle)+((Table5[[#This Row],[Watts Idle]]*Power_On_Hours_Year/1000)*(100%-Active_Duty_Cycle)))*CostPerKWH</f>
        <v>4.6020240000000001</v>
      </c>
      <c r="V94" s="142">
        <f>Table5[Energy$year]/Table5[[#This Row],[SizTB]]</f>
        <v>3.8350200000000001</v>
      </c>
      <c r="W94" s="141">
        <v>289.99</v>
      </c>
      <c r="X94" s="6">
        <f>IF(Table5[[#This Row],[Cost]],Table5[[#This Row],[Cost]]/Table5[[#This Row],[SizTB]]*Exchange_Rate,"")</f>
        <v>241.65833333333336</v>
      </c>
      <c r="Y94" s="146">
        <f>Table5[[#This Row],[Cost]]+((CompareWarrYrs-Table5[[#This Row],[Warranty]])*(Incremental_Warr_Yr*Table5[[#This Row],[Cost]]))*Exchange_Rate</f>
        <v>289.99</v>
      </c>
      <c r="Z94" s="6">
        <f>IF(Table5[[#This Row],[$+Warr]],Table5[[#This Row],[$+Warr]]/Table5[[#This Row],[SizTB]],"")</f>
        <v>241.65833333333336</v>
      </c>
      <c r="AA94" s="6">
        <f>IFERROR(Table5[[#This Row],[$PerTB]]/CompareWarrYrs,"")</f>
        <v>48.331666666666671</v>
      </c>
      <c r="AB94" s="6">
        <f>IF(OR(Table5[[#This Row],[$ TB/year]]="",Table5[[#This Row],[Energy$yearPerTB]]=""),"",Table5[[#This Row],[$ TB/year]]+Table5[[#This Row],[Energy$yearPerTB]])</f>
        <v>52.166686666666671</v>
      </c>
      <c r="AC94" s="156"/>
      <c r="AD94" s="157"/>
      <c r="AE94" s="152" t="s">
        <v>142</v>
      </c>
    </row>
    <row r="95" spans="1:31" x14ac:dyDescent="0.25">
      <c r="A95" s="104">
        <v>43284</v>
      </c>
      <c r="B95" t="s">
        <v>41</v>
      </c>
      <c r="C95" s="105" t="s">
        <v>113</v>
      </c>
      <c r="D95" s="82" t="s">
        <v>49</v>
      </c>
      <c r="E95" s="100">
        <v>2.5</v>
      </c>
      <c r="F95" s="100">
        <v>1.8</v>
      </c>
      <c r="G95" s="42">
        <v>10500</v>
      </c>
      <c r="H95" s="5">
        <v>2.86</v>
      </c>
      <c r="I95" s="5">
        <v>4</v>
      </c>
      <c r="J95" s="61">
        <f>(Table5[[#This Row],[RPM]]/5400-1)</f>
        <v>0.94444444444444442</v>
      </c>
      <c r="K95" s="45">
        <v>226</v>
      </c>
      <c r="L95" s="7">
        <v>5</v>
      </c>
      <c r="M95" s="106">
        <v>600000</v>
      </c>
      <c r="N95" s="7"/>
      <c r="O95" s="106">
        <v>2000000</v>
      </c>
      <c r="P95" s="35">
        <f>10^17</f>
        <v>1E+17</v>
      </c>
      <c r="Q95" s="53"/>
      <c r="R95" s="5">
        <v>8.1</v>
      </c>
      <c r="S95" s="5">
        <v>4.5999999999999996</v>
      </c>
      <c r="T95" s="108"/>
      <c r="U95" s="111">
        <f>(((Table5[[#This Row],[Watts Active]]*Power_On_Hours_Year/1000)*Active_Duty_Cycle)+((Table5[[#This Row],[Watts Idle]]*Power_On_Hours_Year/1000)*(100%-Active_Duty_Cycle)))*CostPerKWH</f>
        <v>5.8073160000000001</v>
      </c>
      <c r="V95" s="142">
        <f>Table5[Energy$year]/Table5[[#This Row],[SizTB]]</f>
        <v>3.2262866666666667</v>
      </c>
      <c r="W95" s="141">
        <v>399.99</v>
      </c>
      <c r="X95" s="6">
        <f>IF(Table5[[#This Row],[Cost]],Table5[[#This Row],[Cost]]/Table5[[#This Row],[SizTB]]*Exchange_Rate,"")</f>
        <v>222.21666666666667</v>
      </c>
      <c r="Y95" s="146">
        <f>Table5[[#This Row],[Cost]]+((CompareWarrYrs-Table5[[#This Row],[Warranty]])*(Incremental_Warr_Yr*Table5[[#This Row],[Cost]]))*Exchange_Rate</f>
        <v>399.99</v>
      </c>
      <c r="Z95" s="6">
        <f>IF(Table5[[#This Row],[$+Warr]],Table5[[#This Row],[$+Warr]]/Table5[[#This Row],[SizTB]],"")</f>
        <v>222.21666666666667</v>
      </c>
      <c r="AA95" s="6">
        <f>IFERROR(Table5[[#This Row],[$PerTB]]/CompareWarrYrs,"")</f>
        <v>44.443333333333335</v>
      </c>
      <c r="AB95" s="6">
        <f>IF(OR(Table5[[#This Row],[$ TB/year]]="",Table5[[#This Row],[Energy$yearPerTB]]=""),"",Table5[[#This Row],[$ TB/year]]+Table5[[#This Row],[Energy$yearPerTB]])</f>
        <v>47.669620000000002</v>
      </c>
      <c r="AC95" s="156"/>
      <c r="AD95" s="157"/>
      <c r="AE95" s="152" t="s">
        <v>142</v>
      </c>
    </row>
    <row r="96" spans="1:31" x14ac:dyDescent="0.25">
      <c r="A96" s="104">
        <v>43088</v>
      </c>
      <c r="B96" t="s">
        <v>41</v>
      </c>
      <c r="C96" s="105" t="s">
        <v>113</v>
      </c>
      <c r="D96" s="82" t="s">
        <v>49</v>
      </c>
      <c r="E96" s="100">
        <v>2.5</v>
      </c>
      <c r="F96" s="100">
        <v>2.4</v>
      </c>
      <c r="G96" s="42">
        <v>10500</v>
      </c>
      <c r="H96" s="5">
        <v>2.86</v>
      </c>
      <c r="I96" s="5">
        <v>4</v>
      </c>
      <c r="J96" s="61">
        <f>(Table5[[#This Row],[RPM]]/5400-1)</f>
        <v>0.94444444444444442</v>
      </c>
      <c r="K96" s="45">
        <v>260</v>
      </c>
      <c r="L96" s="7">
        <v>5</v>
      </c>
      <c r="M96" s="106">
        <v>600000</v>
      </c>
      <c r="N96" s="7"/>
      <c r="O96" s="106">
        <v>2000000</v>
      </c>
      <c r="P96" s="35">
        <f>10^17</f>
        <v>1E+17</v>
      </c>
      <c r="Q96" s="53"/>
      <c r="R96" s="5">
        <v>8.6999999999999993</v>
      </c>
      <c r="S96" s="5">
        <v>5.0999999999999996</v>
      </c>
      <c r="T96" s="108"/>
      <c r="U96" s="111">
        <f>(((Table5[[#This Row],[Watts Active]]*Power_On_Hours_Year/1000)*Active_Duty_Cycle)+((Table5[[#This Row],[Watts Idle]]*Power_On_Hours_Year/1000)*(100%-Active_Duty_Cycle)))*CostPerKWH</f>
        <v>6.3770903999999993</v>
      </c>
      <c r="V96" s="142">
        <f>Table5[Energy$year]/Table5[[#This Row],[SizTB]]</f>
        <v>2.6571209999999996</v>
      </c>
      <c r="W96" s="116"/>
      <c r="X96" s="6" t="str">
        <f>IF(Table5[[#This Row],[Cost]],Table5[[#This Row],[Cost]]/Table5[[#This Row],[SizTB]]*Exchange_Rate,"")</f>
        <v/>
      </c>
      <c r="Y96" s="146">
        <f>Table5[[#This Row],[Cost]]+((CompareWarrYrs-Table5[[#This Row],[Warranty]])*(Incremental_Warr_Yr*Table5[[#This Row],[Cost]]))</f>
        <v>0</v>
      </c>
      <c r="Z96" s="6" t="str">
        <f>IF(Table5[[#This Row],[$+Warr]],Table5[[#This Row],[$+Warr]]/Table5[[#This Row],[SizTB]],"")</f>
        <v/>
      </c>
      <c r="AA96" s="6" t="str">
        <f>IFERROR(Table5[[#This Row],[$PerTB]]/CompareWarrYrs,"")</f>
        <v/>
      </c>
      <c r="AB96" s="6" t="str">
        <f>IF(OR(Table5[[#This Row],[$ TB/year]]="",Table5[[#This Row],[Energy$yearPerTB]]=""),"",Table5[[#This Row],[$ TB/year]]+Table5[[#This Row],[Energy$yearPerTB]])</f>
        <v/>
      </c>
      <c r="AC96" s="156" t="s">
        <v>76</v>
      </c>
      <c r="AD96" s="157"/>
      <c r="AE96" s="152" t="s">
        <v>142</v>
      </c>
    </row>
    <row r="97" spans="1:31" x14ac:dyDescent="0.25">
      <c r="A97" s="104">
        <v>43284</v>
      </c>
      <c r="B97" t="s">
        <v>41</v>
      </c>
      <c r="C97" s="105" t="s">
        <v>113</v>
      </c>
      <c r="D97" s="82" t="s">
        <v>49</v>
      </c>
      <c r="E97" s="100">
        <v>2.5</v>
      </c>
      <c r="F97" s="100">
        <v>0.6</v>
      </c>
      <c r="G97" s="42">
        <v>15000</v>
      </c>
      <c r="H97" s="5">
        <v>2</v>
      </c>
      <c r="I97" s="5">
        <v>2.9</v>
      </c>
      <c r="J97" s="61">
        <f>(Table5[[#This Row],[RPM]]/5400-1)</f>
        <v>1.7777777777777777</v>
      </c>
      <c r="K97" s="45">
        <v>259</v>
      </c>
      <c r="L97" s="7">
        <v>5</v>
      </c>
      <c r="M97" s="106">
        <v>600000</v>
      </c>
      <c r="N97" s="7"/>
      <c r="O97" s="106">
        <v>2000000</v>
      </c>
      <c r="P97" s="35">
        <f>10^17</f>
        <v>1E+17</v>
      </c>
      <c r="Q97" s="53"/>
      <c r="R97" s="5">
        <v>9</v>
      </c>
      <c r="S97" s="5">
        <v>5.6</v>
      </c>
      <c r="T97" s="108"/>
      <c r="U97" s="111">
        <f>(((Table5[[#This Row],[Watts Active]]*Power_On_Hours_Year/1000)*Active_Duty_Cycle)+((Table5[[#This Row],[Watts Idle]]*Power_On_Hours_Year/1000)*(100%-Active_Duty_Cycle)))*CostPerKWH</f>
        <v>6.8811216000000002</v>
      </c>
      <c r="V97" s="142">
        <f>Table5[Energy$year]/Table5[[#This Row],[SizTB]]</f>
        <v>11.468536</v>
      </c>
      <c r="W97" s="141">
        <v>299.99</v>
      </c>
      <c r="X97" s="6">
        <f>IF(Table5[[#This Row],[Cost]],Table5[[#This Row],[Cost]]/Table5[[#This Row],[SizTB]]*Exchange_Rate,"")</f>
        <v>499.98333333333335</v>
      </c>
      <c r="Y97" s="146">
        <f>Table5[[#This Row],[Cost]]+((CompareWarrYrs-Table5[[#This Row],[Warranty]])*(Incremental_Warr_Yr*Table5[[#This Row],[Cost]]))*Exchange_Rate</f>
        <v>299.99</v>
      </c>
      <c r="Z97" s="6">
        <f>IF(Table5[[#This Row],[$+Warr]],Table5[[#This Row],[$+Warr]]/Table5[[#This Row],[SizTB]],"")</f>
        <v>499.98333333333335</v>
      </c>
      <c r="AA97" s="6">
        <f>IFERROR(Table5[[#This Row],[$PerTB]]/CompareWarrYrs,"")</f>
        <v>99.99666666666667</v>
      </c>
      <c r="AB97" s="6">
        <f>IF(OR(Table5[[#This Row],[$ TB/year]]="",Table5[[#This Row],[Energy$yearPerTB]]=""),"",Table5[[#This Row],[$ TB/year]]+Table5[[#This Row],[Energy$yearPerTB]])</f>
        <v>111.46520266666667</v>
      </c>
      <c r="AC97" s="156"/>
      <c r="AD97" s="157"/>
      <c r="AE97" s="152" t="s">
        <v>142</v>
      </c>
    </row>
    <row r="98" spans="1:31" x14ac:dyDescent="0.25">
      <c r="A98" s="104">
        <v>43114</v>
      </c>
      <c r="B98" t="s">
        <v>41</v>
      </c>
      <c r="C98" s="105" t="s">
        <v>113</v>
      </c>
      <c r="D98" s="82" t="s">
        <v>49</v>
      </c>
      <c r="E98" s="100">
        <v>2.5</v>
      </c>
      <c r="F98" s="100">
        <v>0.9</v>
      </c>
      <c r="G98" s="42">
        <v>15000</v>
      </c>
      <c r="H98" s="5">
        <v>2</v>
      </c>
      <c r="I98" s="5">
        <v>2.9</v>
      </c>
      <c r="J98" s="61">
        <f>(Table5[[#This Row],[RPM]]/5400-1)</f>
        <v>1.7777777777777777</v>
      </c>
      <c r="K98" s="45">
        <v>259</v>
      </c>
      <c r="L98" s="7">
        <v>5</v>
      </c>
      <c r="M98" s="106">
        <v>600000</v>
      </c>
      <c r="N98" s="7"/>
      <c r="O98" s="106">
        <v>2000000</v>
      </c>
      <c r="P98" s="35">
        <f>10^17</f>
        <v>1E+17</v>
      </c>
      <c r="Q98" s="53"/>
      <c r="R98" s="5">
        <v>9</v>
      </c>
      <c r="S98" s="5">
        <v>5.6</v>
      </c>
      <c r="T98" s="108"/>
      <c r="U98" s="111">
        <f>(((Table5[[#This Row],[Watts Active]]*Power_On_Hours_Year/1000)*Active_Duty_Cycle)+((Table5[[#This Row],[Watts Idle]]*Power_On_Hours_Year/1000)*(100%-Active_Duty_Cycle)))*CostPerKWH</f>
        <v>6.8811216000000002</v>
      </c>
      <c r="V98" s="142">
        <f>Table5[Energy$year]/Table5[[#This Row],[SizTB]]</f>
        <v>7.6456906666666669</v>
      </c>
      <c r="W98" s="141">
        <v>150</v>
      </c>
      <c r="X98" s="6">
        <f>IF(Table5[[#This Row],[Cost]],Table5[[#This Row],[Cost]]/Table5[[#This Row],[SizTB]]*Exchange_Rate,"")</f>
        <v>166.66666666666666</v>
      </c>
      <c r="Y98" s="146">
        <f>Table5[[#This Row],[Cost]]+((CompareWarrYrs-Table5[[#This Row],[Warranty]])*(Incremental_Warr_Yr*Table5[[#This Row],[Cost]]))*Exchange_Rate</f>
        <v>150</v>
      </c>
      <c r="Z98" s="6">
        <f>IF(Table5[[#This Row],[$+Warr]],Table5[[#This Row],[$+Warr]]/Table5[[#This Row],[SizTB]],"")</f>
        <v>166.66666666666666</v>
      </c>
      <c r="AA98" s="6">
        <f>Table5[[#This Row],[$PerTB]]/CompareWarrYrs</f>
        <v>33.333333333333329</v>
      </c>
      <c r="AB98" s="6">
        <f>IF(OR(Table5[[#This Row],[$ TB/year]]="",Table5[[#This Row],[Energy$yearPerTB]]=""),"",Table5[[#This Row],[$ TB/year]]+Table5[[#This Row],[Energy$yearPerTB]])</f>
        <v>40.979023999999995</v>
      </c>
      <c r="AC98" s="156"/>
      <c r="AD98" s="157"/>
      <c r="AE98" s="152" t="s">
        <v>142</v>
      </c>
    </row>
    <row r="99" spans="1:31" x14ac:dyDescent="0.25">
      <c r="A99" s="104">
        <v>43284</v>
      </c>
      <c r="B99" t="s">
        <v>41</v>
      </c>
      <c r="C99" s="101" t="s">
        <v>155</v>
      </c>
      <c r="D99" s="82" t="s">
        <v>126</v>
      </c>
      <c r="E99" s="100">
        <v>2.5</v>
      </c>
      <c r="F99" s="100">
        <v>3</v>
      </c>
      <c r="G99" s="42">
        <v>5400</v>
      </c>
      <c r="H99" s="5">
        <v>5.56</v>
      </c>
      <c r="I99" s="5"/>
      <c r="J99" s="61">
        <f>(Table5[[#This Row],[RPM]]/5400-1)</f>
        <v>0</v>
      </c>
      <c r="K99" s="45">
        <v>148</v>
      </c>
      <c r="L99" s="7">
        <v>2</v>
      </c>
      <c r="M99" s="106">
        <v>600000</v>
      </c>
      <c r="N99" s="7"/>
      <c r="O99" s="106"/>
      <c r="P99" s="35">
        <f t="shared" ref="P99:P108" si="13">10^14</f>
        <v>100000000000000</v>
      </c>
      <c r="Q99" s="53"/>
      <c r="R99" s="5">
        <v>1.7</v>
      </c>
      <c r="S99" s="5">
        <v>0.7</v>
      </c>
      <c r="T99" s="108"/>
      <c r="U99" s="111">
        <f>(((Table5[[#This Row],[Watts Active]]*Power_On_Hours_Year/1000)*Active_Duty_Cycle)+((Table5[[#This Row],[Watts Idle]]*Power_On_Hours_Year/1000)*(100%-Active_Duty_Cycle)))*CostPerKWH</f>
        <v>0.98614800000000002</v>
      </c>
      <c r="V99" s="174">
        <f>Table5[Energy$year]/Table5[[#This Row],[SizTB]]</f>
        <v>0.32871600000000001</v>
      </c>
      <c r="W99" s="117">
        <v>128.69</v>
      </c>
      <c r="X99" s="6">
        <f>IF(Table5[[#This Row],[Cost]],Table5[[#This Row],[Cost]]/Table5[[#This Row],[SizTB]]*Exchange_Rate,"")</f>
        <v>42.896666666666668</v>
      </c>
      <c r="Y99" s="146">
        <f>Table5[[#This Row],[Cost]]+((CompareWarrYrs-Table5[[#This Row],[Warranty]])*(Incremental_Warr_Yr*Table5[[#This Row],[Cost]]))</f>
        <v>171.15769999999998</v>
      </c>
      <c r="Z99" s="6">
        <f>IF(Table5[[#This Row],[$+Warr]],Table5[[#This Row],[$+Warr]]/Table5[[#This Row],[SizTB]],"")</f>
        <v>57.052566666666657</v>
      </c>
      <c r="AA99" s="6">
        <f>Table5[[#This Row],[$PerTB]]/CompareWarrYrs</f>
        <v>11.410513333333331</v>
      </c>
      <c r="AB99" s="6">
        <f>IF(OR(Table5[[#This Row],[$ TB/year]]="",Table5[[#This Row],[Energy$yearPerTB]]=""),"",Table5[[#This Row],[$ TB/year]]+Table5[[#This Row],[Energy$yearPerTB]])</f>
        <v>11.739229333333331</v>
      </c>
      <c r="AC99" s="156">
        <v>25</v>
      </c>
      <c r="AD99" s="157">
        <v>25</v>
      </c>
      <c r="AE99" s="152"/>
    </row>
    <row r="100" spans="1:31" x14ac:dyDescent="0.25">
      <c r="A100" s="104">
        <v>43284</v>
      </c>
      <c r="B100" t="s">
        <v>41</v>
      </c>
      <c r="C100" s="105" t="s">
        <v>149</v>
      </c>
      <c r="D100" s="82" t="s">
        <v>126</v>
      </c>
      <c r="E100" s="100">
        <v>2.5</v>
      </c>
      <c r="F100" s="100">
        <v>1</v>
      </c>
      <c r="G100" s="42">
        <v>5400</v>
      </c>
      <c r="H100" s="5">
        <v>5.56</v>
      </c>
      <c r="I100" s="5"/>
      <c r="J100" s="61">
        <f>(Table5[[#This Row],[RPM]]/5400-1)</f>
        <v>0</v>
      </c>
      <c r="K100" s="45"/>
      <c r="L100" s="7">
        <v>2</v>
      </c>
      <c r="M100" s="106"/>
      <c r="N100" s="7"/>
      <c r="O100" s="106"/>
      <c r="P100" s="35">
        <f t="shared" si="13"/>
        <v>100000000000000</v>
      </c>
      <c r="Q100" s="53"/>
      <c r="R100" s="5">
        <v>1.5</v>
      </c>
      <c r="S100" s="5">
        <v>0.55000000000000004</v>
      </c>
      <c r="T100" s="108"/>
      <c r="U100" s="111">
        <f>(((Table5[[#This Row],[Watts Active]]*Power_On_Hours_Year/1000)*Active_Duty_Cycle)+((Table5[[#This Row],[Watts Idle]]*Power_On_Hours_Year/1000)*(100%-Active_Duty_Cycle)))*CostPerKWH</f>
        <v>0.81083280000000013</v>
      </c>
      <c r="V100" s="142">
        <f>Table5[Energy$year]/Table5[[#This Row],[SizTB]]</f>
        <v>0.81083280000000013</v>
      </c>
      <c r="W100" s="117">
        <v>44.99</v>
      </c>
      <c r="X100" s="6">
        <f>IF(Table5[[#This Row],[Cost]],Table5[[#This Row],[Cost]]/Table5[[#This Row],[SizTB]]*Exchange_Rate,"")</f>
        <v>44.99</v>
      </c>
      <c r="Y100" s="146">
        <f>Table5[[#This Row],[Cost]]+((CompareWarrYrs-Table5[[#This Row],[Warranty]])*(Incremental_Warr_Yr*Table5[[#This Row],[Cost]]))</f>
        <v>59.8367</v>
      </c>
      <c r="Z100" s="6">
        <f>IF(Table5[[#This Row],[$+Warr]],Table5[[#This Row],[$+Warr]]/Table5[[#This Row],[SizTB]],"")</f>
        <v>59.8367</v>
      </c>
      <c r="AA100" s="6">
        <f>Table5[[#This Row],[$PerTB]]/CompareWarrYrs</f>
        <v>11.96734</v>
      </c>
      <c r="AB100" s="6">
        <f>IF(OR(Table5[[#This Row],[$ TB/year]]="",Table5[[#This Row],[Energy$yearPerTB]]=""),"",Table5[[#This Row],[$ TB/year]]+Table5[[#This Row],[Energy$yearPerTB]])</f>
        <v>12.7781728</v>
      </c>
      <c r="AC100" s="156">
        <v>23</v>
      </c>
      <c r="AD100" s="157">
        <v>24</v>
      </c>
      <c r="AE100" s="152"/>
    </row>
    <row r="101" spans="1:31" x14ac:dyDescent="0.25">
      <c r="A101" s="104">
        <v>43284</v>
      </c>
      <c r="B101" t="s">
        <v>41</v>
      </c>
      <c r="C101" s="105" t="s">
        <v>149</v>
      </c>
      <c r="D101" s="82" t="s">
        <v>126</v>
      </c>
      <c r="E101" s="100">
        <v>2.5</v>
      </c>
      <c r="F101" s="100">
        <v>2</v>
      </c>
      <c r="G101" s="42">
        <v>5400</v>
      </c>
      <c r="H101" s="5"/>
      <c r="I101" s="5"/>
      <c r="J101" s="61">
        <f>(Table5[[#This Row],[RPM]]/5400-1)</f>
        <v>0</v>
      </c>
      <c r="K101" s="45"/>
      <c r="L101" s="7">
        <v>2</v>
      </c>
      <c r="M101" s="106"/>
      <c r="N101" s="7"/>
      <c r="O101" s="106"/>
      <c r="P101" s="35">
        <f t="shared" si="13"/>
        <v>100000000000000</v>
      </c>
      <c r="Q101" s="53"/>
      <c r="R101" s="5"/>
      <c r="S101" s="5"/>
      <c r="T101" s="108"/>
      <c r="U101" s="111">
        <f>(((Table5[[#This Row],[Watts Active]]*Power_On_Hours_Year/1000)*Active_Duty_Cycle)+((Table5[[#This Row],[Watts Idle]]*Power_On_Hours_Year/1000)*(100%-Active_Duty_Cycle)))*CostPerKWH</f>
        <v>0</v>
      </c>
      <c r="V101" s="142">
        <f>Table5[Energy$year]/Table5[[#This Row],[SizTB]]</f>
        <v>0</v>
      </c>
      <c r="W101" s="117">
        <v>97.03</v>
      </c>
      <c r="X101" s="6">
        <f>IF(Table5[[#This Row],[Cost]],Table5[[#This Row],[Cost]]/Table5[[#This Row],[SizTB]]*Exchange_Rate,"")</f>
        <v>48.515000000000001</v>
      </c>
      <c r="Y101" s="146">
        <f>Table5[[#This Row],[Cost]]+((CompareWarrYrs-Table5[[#This Row],[Warranty]])*(Incremental_Warr_Yr*Table5[[#This Row],[Cost]]))</f>
        <v>129.04990000000001</v>
      </c>
      <c r="Z101" s="6">
        <f>IF(Table5[[#This Row],[$+Warr]],Table5[[#This Row],[$+Warr]]/Table5[[#This Row],[SizTB]],"")</f>
        <v>64.524950000000004</v>
      </c>
      <c r="AA101" s="6">
        <f>Table5[[#This Row],[$PerTB]]/CompareWarrYrs</f>
        <v>12.904990000000002</v>
      </c>
      <c r="AB101" s="6">
        <f>IF(OR(Table5[[#This Row],[$ TB/year]]="",Table5[[#This Row],[Energy$yearPerTB]]=""),"",Table5[[#This Row],[$ TB/year]]+Table5[[#This Row],[Energy$yearPerTB]])</f>
        <v>12.904990000000002</v>
      </c>
      <c r="AC101" s="156">
        <v>23</v>
      </c>
      <c r="AD101" s="157">
        <v>24</v>
      </c>
      <c r="AE101" s="152"/>
    </row>
    <row r="102" spans="1:31" x14ac:dyDescent="0.25">
      <c r="A102" s="1">
        <v>43298</v>
      </c>
      <c r="B102" t="s">
        <v>41</v>
      </c>
      <c r="C102" s="96" t="s">
        <v>42</v>
      </c>
      <c r="D102" s="27" t="s">
        <v>49</v>
      </c>
      <c r="E102" s="81">
        <v>3.5</v>
      </c>
      <c r="F102" s="69">
        <v>4</v>
      </c>
      <c r="G102" s="42">
        <v>7200</v>
      </c>
      <c r="H102" s="5">
        <v>4.17</v>
      </c>
      <c r="I102" s="5"/>
      <c r="J102" s="61">
        <f>(Table5[[#This Row],[RPM]]/5400-1)</f>
        <v>0.33333333333333326</v>
      </c>
      <c r="K102" s="45">
        <v>200</v>
      </c>
      <c r="L102">
        <v>3</v>
      </c>
      <c r="M102" s="36">
        <v>300000</v>
      </c>
      <c r="N102">
        <v>180</v>
      </c>
      <c r="O102" s="36">
        <v>1000000</v>
      </c>
      <c r="P102" s="35">
        <f t="shared" si="13"/>
        <v>100000000000000</v>
      </c>
      <c r="Q102" s="53"/>
      <c r="R102" s="5">
        <v>9.6</v>
      </c>
      <c r="S102" s="5">
        <v>5.2</v>
      </c>
      <c r="T102" s="108"/>
      <c r="U102" s="111">
        <f>(((Table5[[#This Row],[Watts Active]]*Power_On_Hours_Year/1000)*Active_Duty_Cycle)+((Table5[[#This Row],[Watts Idle]]*Power_On_Hours_Year/1000)*(100%-Active_Duty_Cycle)))*CostPerKWH</f>
        <v>6.6619776000000011</v>
      </c>
      <c r="V102" s="142">
        <f>Table5[Energy$year]/Table5[[#This Row],[SizTB]]</f>
        <v>1.6654944000000003</v>
      </c>
      <c r="W102" s="141">
        <f>118.99-19</f>
        <v>99.99</v>
      </c>
      <c r="X102" s="6">
        <f>IF(Table5[[#This Row],[Cost]],Table5[[#This Row],[Cost]]/Table5[[#This Row],[SizTB]]*Exchange_Rate,"")</f>
        <v>24.997499999999999</v>
      </c>
      <c r="Y102" s="146">
        <f>Table5[[#This Row],[Cost]]+((CompareWarrYrs-Table5[[#This Row],[Warranty]])*(Incremental_Warr_Yr*Table5[[#This Row],[Cost]]))*Exchange_Rate</f>
        <v>121.98779999999999</v>
      </c>
      <c r="Z102" s="6">
        <f>IF(Table5[[#This Row],[$+Warr]],Table5[[#This Row],[$+Warr]]/Table5[[#This Row],[SizTB]],"")</f>
        <v>30.496949999999998</v>
      </c>
      <c r="AA102" s="6">
        <f>Table5[[#This Row],[$PerTB]]/CompareWarrYrs</f>
        <v>6.0993899999999996</v>
      </c>
      <c r="AB102" s="6">
        <f>IF(OR(Table5[[#This Row],[$ TB/year]]="",Table5[[#This Row],[Energy$yearPerTB]]=""),"",Table5[[#This Row],[$ TB/year]]+Table5[[#This Row],[Energy$yearPerTB]])</f>
        <v>7.7648843999999997</v>
      </c>
      <c r="AC102" s="156">
        <v>30</v>
      </c>
      <c r="AD102" s="157">
        <v>34</v>
      </c>
      <c r="AE102" s="152"/>
    </row>
    <row r="103" spans="1:31" x14ac:dyDescent="0.25">
      <c r="A103" s="1">
        <v>43298</v>
      </c>
      <c r="B103" t="s">
        <v>41</v>
      </c>
      <c r="C103" s="96" t="s">
        <v>42</v>
      </c>
      <c r="D103" s="27" t="s">
        <v>49</v>
      </c>
      <c r="E103" s="81">
        <v>3.5</v>
      </c>
      <c r="F103" s="69">
        <v>6</v>
      </c>
      <c r="G103" s="42">
        <v>7200</v>
      </c>
      <c r="H103" s="5">
        <v>4.17</v>
      </c>
      <c r="I103" s="5"/>
      <c r="J103" s="61">
        <f>(Table5[[#This Row],[RPM]]/5400-1)</f>
        <v>0.33333333333333326</v>
      </c>
      <c r="K103" s="45">
        <v>210</v>
      </c>
      <c r="L103">
        <v>3</v>
      </c>
      <c r="M103" s="36">
        <v>300000</v>
      </c>
      <c r="N103">
        <v>180</v>
      </c>
      <c r="O103" s="36">
        <v>1000000</v>
      </c>
      <c r="P103" s="35">
        <f t="shared" si="13"/>
        <v>100000000000000</v>
      </c>
      <c r="Q103" s="53"/>
      <c r="R103" s="5">
        <v>10.1</v>
      </c>
      <c r="S103" s="5">
        <v>6.7</v>
      </c>
      <c r="T103" s="108"/>
      <c r="U103" s="111">
        <f>(((Table5[[#This Row],[Watts Active]]*Power_On_Hours_Year/1000)*Active_Duty_Cycle)+((Table5[[#This Row],[Watts Idle]]*Power_On_Hours_Year/1000)*(100%-Active_Duty_Cycle)))*CostPerKWH</f>
        <v>8.0864136000000002</v>
      </c>
      <c r="V103" s="142">
        <f>Table5[Energy$year]/Table5[[#This Row],[SizTB]]</f>
        <v>1.3477356</v>
      </c>
      <c r="W103" s="141">
        <v>189.99</v>
      </c>
      <c r="X103" s="6">
        <f>IF(Table5[[#This Row],[Cost]],Table5[[#This Row],[Cost]]/Table5[[#This Row],[SizTB]]*Exchange_Rate,"")</f>
        <v>31.665000000000003</v>
      </c>
      <c r="Y103" s="146">
        <f>Table5[[#This Row],[Cost]]+((CompareWarrYrs-Table5[[#This Row],[Warranty]])*(Incremental_Warr_Yr*Table5[[#This Row],[Cost]]))*Exchange_Rate</f>
        <v>231.7878</v>
      </c>
      <c r="Z103" s="6">
        <f>IF(Table5[[#This Row],[$+Warr]],Table5[[#This Row],[$+Warr]]/Table5[[#This Row],[SizTB]],"")</f>
        <v>38.631300000000003</v>
      </c>
      <c r="AA103" s="6">
        <f>Table5[[#This Row],[$PerTB]]/CompareWarrYrs</f>
        <v>7.7262600000000008</v>
      </c>
      <c r="AB103" s="6">
        <f>IF(OR(Table5[[#This Row],[$ TB/year]]="",Table5[[#This Row],[Energy$yearPerTB]]=""),"",Table5[[#This Row],[$ TB/year]]+Table5[[#This Row],[Energy$yearPerTB]])</f>
        <v>9.0739955999999999</v>
      </c>
      <c r="AC103" s="156">
        <v>33</v>
      </c>
      <c r="AD103" s="157">
        <v>35</v>
      </c>
      <c r="AE103" s="152"/>
    </row>
    <row r="104" spans="1:31" x14ac:dyDescent="0.25">
      <c r="A104" s="1">
        <v>43298</v>
      </c>
      <c r="B104" t="s">
        <v>41</v>
      </c>
      <c r="C104" s="96" t="s">
        <v>42</v>
      </c>
      <c r="D104" s="27" t="s">
        <v>49</v>
      </c>
      <c r="E104" s="81">
        <v>3.5</v>
      </c>
      <c r="F104" s="69">
        <v>8</v>
      </c>
      <c r="G104" s="42">
        <v>7200</v>
      </c>
      <c r="H104" s="5">
        <v>4.17</v>
      </c>
      <c r="I104" s="5"/>
      <c r="J104" s="61">
        <f>(Table5[[#This Row],[RPM]]/5400-1)</f>
        <v>0.33333333333333326</v>
      </c>
      <c r="K104" s="45">
        <v>240</v>
      </c>
      <c r="L104">
        <v>3</v>
      </c>
      <c r="M104" s="36">
        <v>300000</v>
      </c>
      <c r="N104">
        <v>180</v>
      </c>
      <c r="O104" s="36">
        <v>1000000</v>
      </c>
      <c r="P104" s="35">
        <f t="shared" si="13"/>
        <v>100000000000000</v>
      </c>
      <c r="Q104" s="53"/>
      <c r="R104" s="5">
        <v>9.1999999999999993</v>
      </c>
      <c r="S104" s="5">
        <v>6.2</v>
      </c>
      <c r="T104" s="108"/>
      <c r="U104" s="111">
        <f>(((Table5[[#This Row],[Watts Active]]*Power_On_Hours_Year/1000)*Active_Duty_Cycle)+((Table5[[#This Row],[Watts Idle]]*Power_On_Hours_Year/1000)*(100%-Active_Duty_Cycle)))*CostPerKWH</f>
        <v>7.4508960000000002</v>
      </c>
      <c r="V104" s="142">
        <f>Table5[Energy$year]/Table5[[#This Row],[SizTB]]</f>
        <v>0.93136200000000002</v>
      </c>
      <c r="W104" s="141">
        <v>245</v>
      </c>
      <c r="X104" s="6">
        <f>IF(Table5[[#This Row],[Cost]],Table5[[#This Row],[Cost]]/Table5[[#This Row],[SizTB]]*Exchange_Rate,"")</f>
        <v>30.625</v>
      </c>
      <c r="Y104" s="146">
        <f>Table5[[#This Row],[Cost]]+((CompareWarrYrs-Table5[[#This Row],[Warranty]])*(Incremental_Warr_Yr*Table5[[#This Row],[Cost]]))*Exchange_Rate</f>
        <v>298.89999999999998</v>
      </c>
      <c r="Z104" s="6">
        <f>IF(Table5[[#This Row],[$+Warr]],Table5[[#This Row],[$+Warr]]/Table5[[#This Row],[SizTB]],"")</f>
        <v>37.362499999999997</v>
      </c>
      <c r="AA104" s="6">
        <f>Table5[[#This Row],[$PerTB]]/CompareWarrYrs</f>
        <v>7.4724999999999993</v>
      </c>
      <c r="AB104" s="6">
        <f>IF(OR(Table5[[#This Row],[$ TB/year]]="",Table5[[#This Row],[Energy$yearPerTB]]=""),"",Table5[[#This Row],[$ TB/year]]+Table5[[#This Row],[Energy$yearPerTB]])</f>
        <v>8.4038620000000002</v>
      </c>
      <c r="AC104" s="156">
        <v>33</v>
      </c>
      <c r="AD104" s="157">
        <v>35</v>
      </c>
      <c r="AE104" s="152"/>
    </row>
    <row r="105" spans="1:31" x14ac:dyDescent="0.25">
      <c r="A105" s="1">
        <v>43299</v>
      </c>
      <c r="B105" t="s">
        <v>41</v>
      </c>
      <c r="C105" s="96" t="s">
        <v>42</v>
      </c>
      <c r="D105" s="107" t="s">
        <v>49</v>
      </c>
      <c r="E105" s="81">
        <v>3.5</v>
      </c>
      <c r="F105" s="69">
        <v>10</v>
      </c>
      <c r="G105" s="42">
        <v>7200</v>
      </c>
      <c r="H105" s="5">
        <v>4.17</v>
      </c>
      <c r="I105" s="5"/>
      <c r="J105" s="61">
        <f>(Table5[[#This Row],[RPM]]/5400-1)</f>
        <v>0.33333333333333326</v>
      </c>
      <c r="K105" s="45">
        <v>240</v>
      </c>
      <c r="L105">
        <v>3</v>
      </c>
      <c r="M105" s="36">
        <v>300000</v>
      </c>
      <c r="N105">
        <v>180</v>
      </c>
      <c r="O105" s="36">
        <v>1000000</v>
      </c>
      <c r="P105" s="35">
        <f t="shared" si="13"/>
        <v>100000000000000</v>
      </c>
      <c r="Q105" s="53"/>
      <c r="R105" s="5">
        <v>9.1999999999999993</v>
      </c>
      <c r="S105" s="5">
        <v>7.2</v>
      </c>
      <c r="T105" s="108"/>
      <c r="U105" s="111">
        <f>(((Table5[[#This Row],[Watts Active]]*Power_On_Hours_Year/1000)*Active_Duty_Cycle)+((Table5[[#This Row],[Watts Idle]]*Power_On_Hours_Year/1000)*(100%-Active_Duty_Cycle)))*CostPerKWH</f>
        <v>8.3274720000000002</v>
      </c>
      <c r="V105" s="142">
        <f>Table5[Energy$year]/Table5[[#This Row],[SizTB]]</f>
        <v>0.83274720000000002</v>
      </c>
      <c r="W105" s="141"/>
      <c r="X105" s="6" t="str">
        <f>IF(Table5[[#This Row],[Cost]],Table5[[#This Row],[Cost]]/Table5[[#This Row],[SizTB]]*Exchange_Rate,"")</f>
        <v/>
      </c>
      <c r="Y105" s="146">
        <f>Table5[[#This Row],[Cost]]+((CompareWarrYrs-Table5[[#This Row],[Warranty]])*(Incremental_Warr_Yr*Table5[[#This Row],[Cost]]))*Exchange_Rate</f>
        <v>0</v>
      </c>
      <c r="Z105" s="6" t="str">
        <f>IF(Table5[[#This Row],[$+Warr]],Table5[[#This Row],[$+Warr]]/Table5[[#This Row],[SizTB]],"")</f>
        <v/>
      </c>
      <c r="AA105" s="6" t="str">
        <f>IFERROR(Table5[[#This Row],[$PerTB]]/CompareWarrYrs,"")</f>
        <v/>
      </c>
      <c r="AB105" s="6" t="str">
        <f>IF(OR(Table5[[#This Row],[$ TB/year]]="",Table5[[#This Row],[Energy$yearPerTB]]=""),"",Table5[[#This Row],[$ TB/year]]+Table5[[#This Row],[Energy$yearPerTB]])</f>
        <v/>
      </c>
      <c r="AC105" s="156">
        <v>34</v>
      </c>
      <c r="AD105" s="157">
        <v>35</v>
      </c>
      <c r="AE105" s="152"/>
    </row>
    <row r="106" spans="1:31" x14ac:dyDescent="0.25">
      <c r="A106" s="1">
        <v>43304</v>
      </c>
      <c r="B106" t="s">
        <v>41</v>
      </c>
      <c r="C106" s="96" t="s">
        <v>54</v>
      </c>
      <c r="D106" s="27" t="s">
        <v>127</v>
      </c>
      <c r="E106" s="81">
        <v>3.5</v>
      </c>
      <c r="F106" s="69">
        <v>1</v>
      </c>
      <c r="G106" s="42">
        <v>7200</v>
      </c>
      <c r="H106" s="5">
        <v>4.17</v>
      </c>
      <c r="I106" s="5"/>
      <c r="J106" s="61">
        <f>(Table5[[#This Row],[RPM]]/5400-1)</f>
        <v>0.33333333333333326</v>
      </c>
      <c r="K106" s="45"/>
      <c r="L106">
        <v>2</v>
      </c>
      <c r="M106" s="36"/>
      <c r="O106" s="36"/>
      <c r="P106" s="35">
        <f t="shared" si="13"/>
        <v>100000000000000</v>
      </c>
      <c r="Q106" s="53"/>
      <c r="R106" s="5">
        <v>6.4</v>
      </c>
      <c r="S106" s="5">
        <v>3.7</v>
      </c>
      <c r="T106" s="108"/>
      <c r="U106" s="111">
        <f>(((Table5[[#This Row],[Watts Active]]*Power_On_Hours_Year/1000)*Active_Duty_Cycle)+((Table5[[#This Row],[Watts Idle]]*Power_On_Hours_Year/1000)*(100%-Active_Duty_Cycle)))*CostPerKWH</f>
        <v>4.6458528000000001</v>
      </c>
      <c r="V106" s="142">
        <f>Table5[Energy$year]/Table5[[#This Row],[SizTB]]</f>
        <v>4.6458528000000001</v>
      </c>
      <c r="W106" s="141">
        <v>39.99</v>
      </c>
      <c r="X106" s="6">
        <f>IF(Table5[[#This Row],[Cost]],Table5[[#This Row],[Cost]]/Table5[[#This Row],[SizTB]]*Exchange_Rate,"")</f>
        <v>39.99</v>
      </c>
      <c r="Y106" s="146">
        <f>Table5[[#This Row],[Cost]]+((CompareWarrYrs-Table5[[#This Row],[Warranty]])*(Incremental_Warr_Yr*Table5[[#This Row],[Cost]]))*Exchange_Rate</f>
        <v>53.186700000000002</v>
      </c>
      <c r="Z106" s="6">
        <f>IF(Table5[[#This Row],[$+Warr]],Table5[[#This Row],[$+Warr]]/Table5[[#This Row],[SizTB]],"")</f>
        <v>53.186700000000002</v>
      </c>
      <c r="AA106" s="6">
        <f>Table5[[#This Row],[$PerTB]]/CompareWarrYrs</f>
        <v>10.63734</v>
      </c>
      <c r="AB106" s="6">
        <f>IF(OR(Table5[[#This Row],[$ TB/year]]="",Table5[[#This Row],[Energy$yearPerTB]]=""),"",Table5[[#This Row],[$ TB/year]]+Table5[[#This Row],[Energy$yearPerTB]])</f>
        <v>15.2831928</v>
      </c>
      <c r="AC106" s="156">
        <v>24</v>
      </c>
      <c r="AD106" s="157">
        <v>26</v>
      </c>
      <c r="AE106" s="152"/>
    </row>
    <row r="107" spans="1:31" x14ac:dyDescent="0.25">
      <c r="A107" s="1">
        <v>43321</v>
      </c>
      <c r="B107" t="s">
        <v>41</v>
      </c>
      <c r="C107" s="96" t="s">
        <v>54</v>
      </c>
      <c r="D107" s="107" t="s">
        <v>127</v>
      </c>
      <c r="E107" s="81">
        <v>3.5</v>
      </c>
      <c r="F107" s="69">
        <v>2</v>
      </c>
      <c r="G107" s="42">
        <v>7200</v>
      </c>
      <c r="H107" s="5">
        <v>4.17</v>
      </c>
      <c r="I107" s="5"/>
      <c r="J107" s="61">
        <f>(Table5[[#This Row],[RPM]]/5400-1)</f>
        <v>0.33333333333333326</v>
      </c>
      <c r="K107" s="45"/>
      <c r="L107">
        <v>2</v>
      </c>
      <c r="M107" s="36"/>
      <c r="O107" s="36"/>
      <c r="P107" s="35">
        <f t="shared" si="13"/>
        <v>100000000000000</v>
      </c>
      <c r="Q107" s="53"/>
      <c r="R107" s="5">
        <v>6.4</v>
      </c>
      <c r="S107" s="5">
        <v>5.2</v>
      </c>
      <c r="T107" s="108"/>
      <c r="U107" s="111">
        <f>(((Table5[[#This Row],[Watts Active]]*Power_On_Hours_Year/1000)*Active_Duty_Cycle)+((Table5[[#This Row],[Watts Idle]]*Power_On_Hours_Year/1000)*(100%-Active_Duty_Cycle)))*CostPerKWH</f>
        <v>5.960716800000001</v>
      </c>
      <c r="V107" s="142">
        <f>Table5[Energy$year]/Table5[[#This Row],[SizTB]]</f>
        <v>2.9803584000000005</v>
      </c>
      <c r="W107" s="141">
        <v>48.99</v>
      </c>
      <c r="X107" s="6">
        <f>IF(Table5[[#This Row],[Cost]],Table5[[#This Row],[Cost]]/Table5[[#This Row],[SizTB]]*Exchange_Rate,"")</f>
        <v>24.495000000000001</v>
      </c>
      <c r="Y107" s="146">
        <f>Table5[[#This Row],[Cost]]+((CompareWarrYrs-Table5[[#This Row],[Warranty]])*(Incremental_Warr_Yr*Table5[[#This Row],[Cost]]))*Exchange_Rate</f>
        <v>65.156700000000001</v>
      </c>
      <c r="Z107" s="6">
        <f>IF(Table5[[#This Row],[$+Warr]],Table5[[#This Row],[$+Warr]]/Table5[[#This Row],[SizTB]],"")</f>
        <v>32.57835</v>
      </c>
      <c r="AA107" s="6">
        <f>Table5[[#This Row],[$PerTB]]/CompareWarrYrs</f>
        <v>6.5156700000000001</v>
      </c>
      <c r="AB107" s="6">
        <f>IF(OR(Table5[[#This Row],[$ TB/year]]="",Table5[[#This Row],[Energy$yearPerTB]]=""),"",Table5[[#This Row],[$ TB/year]]+Table5[[#This Row],[Energy$yearPerTB]])</f>
        <v>9.4960284000000001</v>
      </c>
      <c r="AC107" s="156">
        <v>27</v>
      </c>
      <c r="AD107" s="157">
        <v>28</v>
      </c>
      <c r="AE107" s="152"/>
    </row>
    <row r="108" spans="1:31" x14ac:dyDescent="0.25">
      <c r="A108" s="1">
        <v>43334</v>
      </c>
      <c r="B108" t="s">
        <v>41</v>
      </c>
      <c r="C108" s="96" t="s">
        <v>54</v>
      </c>
      <c r="D108" s="107" t="s">
        <v>127</v>
      </c>
      <c r="E108" s="81">
        <v>3.5</v>
      </c>
      <c r="F108" s="69">
        <v>3</v>
      </c>
      <c r="G108" s="42">
        <v>7200</v>
      </c>
      <c r="H108" s="5">
        <v>4.17</v>
      </c>
      <c r="I108" s="5"/>
      <c r="J108" s="61">
        <f>(Table5[[#This Row],[RPM]]/5400-1)</f>
        <v>0.33333333333333326</v>
      </c>
      <c r="K108" s="45"/>
      <c r="L108">
        <v>2</v>
      </c>
      <c r="M108" s="36"/>
      <c r="O108" s="36"/>
      <c r="P108" s="35">
        <f t="shared" si="13"/>
        <v>100000000000000</v>
      </c>
      <c r="Q108" s="53"/>
      <c r="R108" s="5">
        <v>6.4</v>
      </c>
      <c r="S108" s="5">
        <v>5.2</v>
      </c>
      <c r="T108" s="108"/>
      <c r="U108" s="111">
        <f>(((Table5[[#This Row],[Watts Active]]*Power_On_Hours_Year/1000)*Active_Duty_Cycle)+((Table5[[#This Row],[Watts Idle]]*Power_On_Hours_Year/1000)*(100%-Active_Duty_Cycle)))*CostPerKWH</f>
        <v>5.960716800000001</v>
      </c>
      <c r="V108" s="142">
        <f>Table5[Energy$year]/Table5[[#This Row],[SizTB]]</f>
        <v>1.9869056000000003</v>
      </c>
      <c r="W108" s="141">
        <v>64.989999999999995</v>
      </c>
      <c r="X108" s="6">
        <f>IF(Table5[[#This Row],[Cost]],Table5[[#This Row],[Cost]]/Table5[[#This Row],[SizTB]]*Exchange_Rate,"")</f>
        <v>21.66333333333333</v>
      </c>
      <c r="Y108" s="146">
        <f>Table5[[#This Row],[Cost]]+((CompareWarrYrs-Table5[[#This Row],[Warranty]])*(Incremental_Warr_Yr*Table5[[#This Row],[Cost]]))*Exchange_Rate</f>
        <v>86.436700000000002</v>
      </c>
      <c r="Z108" s="6">
        <f>IF(Table5[[#This Row],[$+Warr]],Table5[[#This Row],[$+Warr]]/Table5[[#This Row],[SizTB]],"")</f>
        <v>28.812233333333335</v>
      </c>
      <c r="AA108" s="6">
        <f>Table5[[#This Row],[$PerTB]]/CompareWarrYrs</f>
        <v>5.7624466666666674</v>
      </c>
      <c r="AB108" s="6">
        <f>IF(OR(Table5[[#This Row],[$ TB/year]]="",Table5[[#This Row],[Energy$yearPerTB]]=""),"",Table5[[#This Row],[$ TB/year]]+Table5[[#This Row],[Energy$yearPerTB]])</f>
        <v>7.7493522666666674</v>
      </c>
      <c r="AC108" s="156">
        <v>27</v>
      </c>
      <c r="AD108" s="157">
        <v>28</v>
      </c>
      <c r="AE108" s="152"/>
    </row>
    <row r="109" spans="1:31" x14ac:dyDescent="0.25">
      <c r="A109" s="1">
        <v>43298</v>
      </c>
      <c r="B109" t="s">
        <v>41</v>
      </c>
      <c r="C109" s="96" t="s">
        <v>65</v>
      </c>
      <c r="D109" s="107" t="s">
        <v>127</v>
      </c>
      <c r="E109" s="81">
        <v>3.5</v>
      </c>
      <c r="F109" s="69">
        <v>4</v>
      </c>
      <c r="G109" s="42">
        <v>7200</v>
      </c>
      <c r="H109" s="5">
        <v>4.17</v>
      </c>
      <c r="I109" s="5"/>
      <c r="J109" s="61">
        <f>(Table5[[#This Row],[RPM]]/5400-1)</f>
        <v>0.33333333333333326</v>
      </c>
      <c r="K109" s="45"/>
      <c r="L109">
        <v>2</v>
      </c>
      <c r="M109" s="36"/>
      <c r="O109" s="36"/>
      <c r="P109" s="35">
        <f t="shared" ref="P109:P113" si="14">10^14</f>
        <v>100000000000000</v>
      </c>
      <c r="Q109" s="53"/>
      <c r="R109" s="5">
        <v>11.3</v>
      </c>
      <c r="S109" s="5">
        <v>6</v>
      </c>
      <c r="T109" s="108"/>
      <c r="U109" s="111">
        <f>(((Table5[[#This Row],[Watts Active]]*Power_On_Hours_Year/1000)*Active_Duty_Cycle)+((Table5[[#This Row],[Watts Idle]]*Power_On_Hours_Year/1000)*(100%-Active_Duty_Cycle)))*CostPerKWH</f>
        <v>7.7357832000000002</v>
      </c>
      <c r="V109" s="142">
        <f>Table5[Energy$year]/Table5[[#This Row],[SizTB]]</f>
        <v>1.9339458</v>
      </c>
      <c r="W109" s="141">
        <v>93.49</v>
      </c>
      <c r="X109" s="6">
        <f>IF(Table5[[#This Row],[Cost]],Table5[[#This Row],[Cost]]/Table5[[#This Row],[SizTB]]*Exchange_Rate,"")</f>
        <v>23.372499999999999</v>
      </c>
      <c r="Y109" s="146">
        <f>Table5[[#This Row],[Cost]]+((CompareWarrYrs-Table5[[#This Row],[Warranty]])*(Incremental_Warr_Yr*Table5[[#This Row],[Cost]]))*Exchange_Rate</f>
        <v>124.34169999999999</v>
      </c>
      <c r="Z109" s="6">
        <f>IF(Table5[[#This Row],[$+Warr]],Table5[[#This Row],[$+Warr]]/Table5[[#This Row],[SizTB]],"")</f>
        <v>31.085424999999997</v>
      </c>
      <c r="AA109" s="6">
        <f>Table5[[#This Row],[$PerTB]]/CompareWarrYrs</f>
        <v>6.2170849999999991</v>
      </c>
      <c r="AB109" s="6">
        <f>IF(OR(Table5[[#This Row],[$ TB/year]]="",Table5[[#This Row],[Energy$yearPerTB]]=""),"",Table5[[#This Row],[$ TB/year]]+Table5[[#This Row],[Energy$yearPerTB]])</f>
        <v>8.1510307999999991</v>
      </c>
      <c r="AC109" s="156">
        <v>31</v>
      </c>
      <c r="AD109" s="157"/>
      <c r="AE109" s="152"/>
    </row>
    <row r="110" spans="1:31" x14ac:dyDescent="0.25">
      <c r="A110" s="1">
        <v>43319</v>
      </c>
      <c r="B110" t="s">
        <v>41</v>
      </c>
      <c r="C110" s="96" t="s">
        <v>65</v>
      </c>
      <c r="D110" s="107" t="s">
        <v>127</v>
      </c>
      <c r="E110" s="81">
        <v>3.5</v>
      </c>
      <c r="F110" s="69">
        <v>5</v>
      </c>
      <c r="G110" s="42">
        <v>7200</v>
      </c>
      <c r="H110" s="5">
        <v>4.17</v>
      </c>
      <c r="I110" s="5"/>
      <c r="J110" s="61">
        <f>(Table5[[#This Row],[RPM]]/5400-1)</f>
        <v>0.33333333333333326</v>
      </c>
      <c r="K110" s="45"/>
      <c r="L110">
        <v>2</v>
      </c>
      <c r="M110" s="36"/>
      <c r="O110" s="36"/>
      <c r="P110" s="35">
        <f t="shared" si="14"/>
        <v>100000000000000</v>
      </c>
      <c r="Q110" s="53"/>
      <c r="R110" s="5">
        <v>11.3</v>
      </c>
      <c r="S110" s="5">
        <v>6</v>
      </c>
      <c r="T110" s="108"/>
      <c r="U110" s="111">
        <f>(((Table5[[#This Row],[Watts Active]]*Power_On_Hours_Year/1000)*Active_Duty_Cycle)+((Table5[[#This Row],[Watts Idle]]*Power_On_Hours_Year/1000)*(100%-Active_Duty_Cycle)))*CostPerKWH</f>
        <v>7.7357832000000002</v>
      </c>
      <c r="V110" s="142">
        <f>Table5[Energy$year]/Table5[[#This Row],[SizTB]]</f>
        <v>1.5471566400000001</v>
      </c>
      <c r="W110" s="141">
        <v>109.99</v>
      </c>
      <c r="X110" s="6">
        <f>IF(Table5[[#This Row],[Cost]],Table5[[#This Row],[Cost]]/Table5[[#This Row],[SizTB]]*Exchange_Rate,"")</f>
        <v>21.997999999999998</v>
      </c>
      <c r="Y110" s="146">
        <f>Table5[[#This Row],[Cost]]+((CompareWarrYrs-Table5[[#This Row],[Warranty]])*(Incremental_Warr_Yr*Table5[[#This Row],[Cost]]))*Exchange_Rate</f>
        <v>146.2867</v>
      </c>
      <c r="Z110" s="6">
        <f>IF(Table5[[#This Row],[$+Warr]],Table5[[#This Row],[$+Warr]]/Table5[[#This Row],[SizTB]],"")</f>
        <v>29.257339999999999</v>
      </c>
      <c r="AA110" s="6">
        <f>Table5[[#This Row],[$PerTB]]/CompareWarrYrs</f>
        <v>5.8514679999999997</v>
      </c>
      <c r="AB110" s="6">
        <f>IF(OR(Table5[[#This Row],[$ TB/year]]="",Table5[[#This Row],[Energy$yearPerTB]]=""),"",Table5[[#This Row],[$ TB/year]]+Table5[[#This Row],[Energy$yearPerTB]])</f>
        <v>7.3986246399999995</v>
      </c>
      <c r="AC110" s="156">
        <v>31</v>
      </c>
      <c r="AD110" s="157"/>
      <c r="AE110" s="152"/>
    </row>
    <row r="111" spans="1:31" x14ac:dyDescent="0.25">
      <c r="A111" s="1">
        <v>43334</v>
      </c>
      <c r="B111" t="s">
        <v>41</v>
      </c>
      <c r="C111" s="96" t="s">
        <v>65</v>
      </c>
      <c r="D111" s="107" t="s">
        <v>127</v>
      </c>
      <c r="E111" s="81">
        <v>3.5</v>
      </c>
      <c r="F111" s="69">
        <v>6</v>
      </c>
      <c r="G111" s="42">
        <v>7200</v>
      </c>
      <c r="H111" s="5">
        <v>4.17</v>
      </c>
      <c r="I111" s="5"/>
      <c r="J111" s="61">
        <f>(Table5[[#This Row],[RPM]]/5400-1)</f>
        <v>0.33333333333333326</v>
      </c>
      <c r="K111" s="45"/>
      <c r="L111">
        <v>2</v>
      </c>
      <c r="M111" s="36"/>
      <c r="O111" s="36"/>
      <c r="P111" s="35">
        <f t="shared" si="14"/>
        <v>100000000000000</v>
      </c>
      <c r="Q111" s="53"/>
      <c r="R111" s="5">
        <v>11.3</v>
      </c>
      <c r="S111" s="5">
        <v>6</v>
      </c>
      <c r="T111" s="108"/>
      <c r="U111" s="111">
        <f>(((Table5[[#This Row],[Watts Active]]*Power_On_Hours_Year/1000)*Active_Duty_Cycle)+((Table5[[#This Row],[Watts Idle]]*Power_On_Hours_Year/1000)*(100%-Active_Duty_Cycle)))*CostPerKWH</f>
        <v>7.7357832000000002</v>
      </c>
      <c r="V111" s="142">
        <f>Table5[Energy$year]/Table5[[#This Row],[SizTB]]</f>
        <v>1.2892972</v>
      </c>
      <c r="W111" s="141">
        <v>159.99</v>
      </c>
      <c r="X111" s="6">
        <f>IF(Table5[[#This Row],[Cost]],Table5[[#This Row],[Cost]]/Table5[[#This Row],[SizTB]]*Exchange_Rate,"")</f>
        <v>26.665000000000003</v>
      </c>
      <c r="Y111" s="146">
        <f>Table5[[#This Row],[Cost]]+((CompareWarrYrs-Table5[[#This Row],[Warranty]])*(Incremental_Warr_Yr*Table5[[#This Row],[Cost]]))*Exchange_Rate</f>
        <v>212.7867</v>
      </c>
      <c r="Z111" s="6">
        <f>IF(Table5[[#This Row],[$+Warr]],Table5[[#This Row],[$+Warr]]/Table5[[#This Row],[SizTB]],"")</f>
        <v>35.464449999999999</v>
      </c>
      <c r="AA111" s="6">
        <f>Table5[[#This Row],[$PerTB]]/CompareWarrYrs</f>
        <v>7.0928899999999997</v>
      </c>
      <c r="AB111" s="6">
        <f>IF(OR(Table5[[#This Row],[$ TB/year]]="",Table5[[#This Row],[Energy$yearPerTB]]=""),"",Table5[[#This Row],[$ TB/year]]+Table5[[#This Row],[Energy$yearPerTB]])</f>
        <v>8.3821872000000006</v>
      </c>
      <c r="AC111" s="156">
        <v>34</v>
      </c>
      <c r="AD111" s="157"/>
      <c r="AE111" s="152"/>
    </row>
    <row r="112" spans="1:31" x14ac:dyDescent="0.25">
      <c r="A112" s="104">
        <v>43298</v>
      </c>
      <c r="B112" s="7" t="s">
        <v>41</v>
      </c>
      <c r="C112" s="105" t="s">
        <v>65</v>
      </c>
      <c r="D112" s="82" t="s">
        <v>127</v>
      </c>
      <c r="E112" s="69">
        <v>3.5</v>
      </c>
      <c r="F112" s="69">
        <v>8</v>
      </c>
      <c r="G112" s="42">
        <v>7200</v>
      </c>
      <c r="H112" s="5">
        <v>4.17</v>
      </c>
      <c r="I112" s="5"/>
      <c r="J112" s="61">
        <v>0.33333333333333326</v>
      </c>
      <c r="K112" s="45"/>
      <c r="L112" s="7">
        <v>2</v>
      </c>
      <c r="M112" s="106"/>
      <c r="N112" s="7"/>
      <c r="O112" s="106"/>
      <c r="P112" s="175">
        <v>100000000000000</v>
      </c>
      <c r="Q112" s="53"/>
      <c r="R112" s="5">
        <v>11.3</v>
      </c>
      <c r="S112" s="5">
        <v>6</v>
      </c>
      <c r="T112" s="108"/>
      <c r="U112" s="111">
        <v>7.7357832000000002</v>
      </c>
      <c r="V112" s="142">
        <v>0.96697290000000002</v>
      </c>
      <c r="W112" s="141">
        <v>242.39</v>
      </c>
      <c r="X112" s="6">
        <f>IF(Table5[[#This Row],[Cost]],Table5[[#This Row],[Cost]]/Table5[[#This Row],[SizTB]]*Exchange_Rate,"")</f>
        <v>30.298749999999998</v>
      </c>
      <c r="Y112" s="146">
        <v>327.16669999999999</v>
      </c>
      <c r="Z112" s="6">
        <f>IF(Table5[[#This Row],[$+Warr]],Table5[[#This Row],[$+Warr]]/Table5[[#This Row],[SizTB]],"")</f>
        <v>40.895837499999999</v>
      </c>
      <c r="AA112" s="6">
        <v>8.1791675000000001</v>
      </c>
      <c r="AB112" s="6">
        <f>IF(OR(Table5[[#This Row],[$ TB/year]]="",Table5[[#This Row],[Energy$yearPerTB]]=""),"",Table5[[#This Row],[$ TB/year]]+Table5[[#This Row],[Energy$yearPerTB]])</f>
        <v>9.1461404000000002</v>
      </c>
      <c r="AC112" s="156">
        <v>34</v>
      </c>
      <c r="AD112" s="157"/>
      <c r="AE112" s="40"/>
    </row>
    <row r="113" spans="1:31" ht="15.75" thickBot="1" x14ac:dyDescent="0.3">
      <c r="A113" s="178">
        <v>43298</v>
      </c>
      <c r="B113" s="177" t="s">
        <v>41</v>
      </c>
      <c r="C113" s="179" t="s">
        <v>65</v>
      </c>
      <c r="D113" s="180" t="s">
        <v>127</v>
      </c>
      <c r="E113" s="181">
        <v>3.5</v>
      </c>
      <c r="F113" s="181">
        <v>10</v>
      </c>
      <c r="G113" s="182">
        <v>7200</v>
      </c>
      <c r="H113" s="137">
        <v>4.17</v>
      </c>
      <c r="I113" s="137"/>
      <c r="J113" s="183">
        <f>(Table5[[#This Row],[RPM]]/5400-1)</f>
        <v>0.33333333333333326</v>
      </c>
      <c r="K113" s="184"/>
      <c r="L113" s="177">
        <v>2</v>
      </c>
      <c r="M113" s="185"/>
      <c r="N113" s="177"/>
      <c r="O113" s="185"/>
      <c r="P113" s="138">
        <f t="shared" si="14"/>
        <v>100000000000000</v>
      </c>
      <c r="Q113" s="186"/>
      <c r="R113" s="137"/>
      <c r="S113" s="137"/>
      <c r="T113" s="187"/>
      <c r="U113" s="188">
        <f>(((Table5[[#This Row],[Watts Active]]*Power_On_Hours_Year/1000)*Active_Duty_Cycle)+((Table5[[#This Row],[Watts Idle]]*Power_On_Hours_Year/1000)*(100%-Active_Duty_Cycle)))*CostPerKWH</f>
        <v>0</v>
      </c>
      <c r="V113" s="143">
        <f>Table5[Energy$year]/Table5[[#This Row],[SizTB]]</f>
        <v>0</v>
      </c>
      <c r="W113" s="189">
        <v>374.6</v>
      </c>
      <c r="X113" s="176">
        <f>IF(Table5[[#This Row],[Cost]],Table5[[#This Row],[Cost]]/Table5[[#This Row],[SizTB]]*Exchange_Rate,"")</f>
        <v>37.46</v>
      </c>
      <c r="Y113" s="150">
        <f>Table5[[#This Row],[Cost]]+((CompareWarrYrs-Table5[[#This Row],[Warranty]])*(Incremental_Warr_Yr*Table5[[#This Row],[Cost]]))*Exchange_Rate</f>
        <v>498.21800000000002</v>
      </c>
      <c r="Z113" s="149">
        <f>IF(Table5[[#This Row],[$+Warr]],Table5[[#This Row],[$+Warr]]/Table5[[#This Row],[SizTB]],"")</f>
        <v>49.821800000000003</v>
      </c>
      <c r="AA113" s="149">
        <f>Table5[[#This Row],[$PerTB]]/CompareWarrYrs</f>
        <v>9.964360000000001</v>
      </c>
      <c r="AB113" s="176">
        <f>IF(OR(Table5[[#This Row],[$ TB/year]]="",Table5[[#This Row],[Energy$yearPerTB]]=""),"",Table5[[#This Row],[$ TB/year]]+Table5[[#This Row],[Energy$yearPerTB]])</f>
        <v>9.964360000000001</v>
      </c>
      <c r="AC113" s="165"/>
      <c r="AD113" s="166"/>
      <c r="AE113" s="190"/>
    </row>
    <row r="114" spans="1:31" ht="15.75" thickTop="1" x14ac:dyDescent="0.25">
      <c r="A114" s="1">
        <v>43166</v>
      </c>
      <c r="B114" t="s">
        <v>6</v>
      </c>
      <c r="C114" s="96" t="s">
        <v>79</v>
      </c>
      <c r="D114" s="27" t="s">
        <v>49</v>
      </c>
      <c r="E114" s="81">
        <v>3.5</v>
      </c>
      <c r="F114" s="69">
        <v>6</v>
      </c>
      <c r="G114" s="42">
        <v>5760</v>
      </c>
      <c r="H114" s="5"/>
      <c r="I114" s="5"/>
      <c r="J114" s="61">
        <f>(Table5[[#This Row],[RPM]]/5400-1)</f>
        <v>6.6666666666666652E-2</v>
      </c>
      <c r="K114" s="45">
        <v>150</v>
      </c>
      <c r="L114">
        <v>3</v>
      </c>
      <c r="M114" s="36">
        <v>300000</v>
      </c>
      <c r="O114" s="36">
        <v>500000</v>
      </c>
      <c r="P114" s="35">
        <f t="shared" ref="P114:P119" si="15">10^14</f>
        <v>100000000000000</v>
      </c>
      <c r="Q114" s="53"/>
      <c r="R114" s="5">
        <v>6.5</v>
      </c>
      <c r="S114" s="5">
        <v>4.8</v>
      </c>
      <c r="T114" s="108"/>
      <c r="U114" s="111">
        <f>(((Table5[[#This Row],[Watts Active]]*Power_On_Hours_Year/1000)*Active_Duty_Cycle)+((Table5[[#This Row],[Watts Idle]]*Power_On_Hours_Year/1000)*(100%-Active_Duty_Cycle)))*CostPerKWH</f>
        <v>5.6320008000000001</v>
      </c>
      <c r="V114" s="142">
        <f>Table5[Energy$year]/Table5[[#This Row],[SizTB]]</f>
        <v>0.93866680000000002</v>
      </c>
      <c r="W114" s="141">
        <v>236</v>
      </c>
      <c r="X114" s="6">
        <f>IF(Table5[[#This Row],[Cost]],Table5[[#This Row],[Cost]]/Table5[[#This Row],[SizTB]]*Exchange_Rate,"")</f>
        <v>39.333333333333336</v>
      </c>
      <c r="Y114" s="146">
        <f>Table5[[#This Row],[Cost]]+((CompareWarrYrs-Table5[[#This Row],[Warranty]])*(Incremental_Warr_Yr*Table5[[#This Row],[Cost]]))*Exchange_Rate</f>
        <v>287.92</v>
      </c>
      <c r="Z114" s="6">
        <f>IF(Table5[[#This Row],[$+Warr]],Table5[[#This Row],[$+Warr]]/Table5[[#This Row],[SizTB]],"")</f>
        <v>47.986666666666672</v>
      </c>
      <c r="AA114" s="6">
        <f>Table5[[#This Row],[$PerTB]]/CompareWarrYrs</f>
        <v>9.597333333333335</v>
      </c>
      <c r="AB114" s="6">
        <f>IF(OR(Table5[[#This Row],[$ TB/year]]="",Table5[[#This Row],[Energy$yearPerTB]]=""),"",Table5[[#This Row],[$ TB/year]]+Table5[[#This Row],[Energy$yearPerTB]])</f>
        <v>10.536000133333335</v>
      </c>
      <c r="AC114" s="156"/>
      <c r="AD114" s="157"/>
      <c r="AE114" s="40"/>
    </row>
    <row r="115" spans="1:31" x14ac:dyDescent="0.25">
      <c r="A115" s="1">
        <v>43130</v>
      </c>
      <c r="B115" t="s">
        <v>6</v>
      </c>
      <c r="C115" s="96" t="s">
        <v>5</v>
      </c>
      <c r="D115" s="102" t="s">
        <v>126</v>
      </c>
      <c r="E115" s="81">
        <v>2.5</v>
      </c>
      <c r="F115" s="69">
        <v>1</v>
      </c>
      <c r="G115" s="42">
        <v>7200</v>
      </c>
      <c r="H115" s="5"/>
      <c r="I115" s="5"/>
      <c r="J115" s="61">
        <f>(Table5[[#This Row],[RPM]]/5400-1)</f>
        <v>0.33333333333333326</v>
      </c>
      <c r="K115" s="45"/>
      <c r="L115">
        <v>5</v>
      </c>
      <c r="M115" s="36">
        <v>600000</v>
      </c>
      <c r="O115" s="36"/>
      <c r="P115" s="35">
        <f t="shared" si="15"/>
        <v>100000000000000</v>
      </c>
      <c r="Q115" s="53">
        <f>1.1*5</f>
        <v>5.5</v>
      </c>
      <c r="R115" s="5">
        <v>1.8</v>
      </c>
      <c r="S115" s="5">
        <v>0.8</v>
      </c>
      <c r="T115" s="108">
        <v>0.2</v>
      </c>
      <c r="U115" s="111">
        <f>(((Table5[[#This Row],[Watts Active]]*Power_On_Hours_Year/1000)*Active_Duty_Cycle)+((Table5[[#This Row],[Watts Idle]]*Power_On_Hours_Year/1000)*(100%-Active_Duty_Cycle)))*CostPerKWH</f>
        <v>1.09572</v>
      </c>
      <c r="V115" s="142">
        <f>Table5[Energy$year]/Table5[[#This Row],[SizTB]]</f>
        <v>1.09572</v>
      </c>
      <c r="W115" s="141">
        <v>59.99</v>
      </c>
      <c r="X115" s="6">
        <f>IF(Table5[[#This Row],[Cost]],Table5[[#This Row],[Cost]]/Table5[[#This Row],[SizTB]]*Exchange_Rate,"")</f>
        <v>59.99</v>
      </c>
      <c r="Y115" s="146">
        <f>Table5[[#This Row],[Cost]]+((CompareWarrYrs-Table5[[#This Row],[Warranty]])*(Incremental_Warr_Yr*Table5[[#This Row],[Cost]]))*Exchange_Rate</f>
        <v>59.99</v>
      </c>
      <c r="Z115" s="6">
        <f>IF(Table5[[#This Row],[$+Warr]],Table5[[#This Row],[$+Warr]]/Table5[[#This Row],[SizTB]],"")</f>
        <v>59.99</v>
      </c>
      <c r="AA115" s="6">
        <f>Table5[[#This Row],[$PerTB]]/CompareWarrYrs</f>
        <v>11.998000000000001</v>
      </c>
      <c r="AB115" s="6">
        <f>IF(OR(Table5[[#This Row],[$ TB/year]]="",Table5[[#This Row],[Energy$yearPerTB]]=""),"",Table5[[#This Row],[$ TB/year]]+Table5[[#This Row],[Energy$yearPerTB]])</f>
        <v>13.093720000000001</v>
      </c>
      <c r="AC115" s="156">
        <v>25</v>
      </c>
      <c r="AD115" s="157">
        <v>27</v>
      </c>
      <c r="AE115" s="40"/>
    </row>
    <row r="116" spans="1:31" x14ac:dyDescent="0.25">
      <c r="A116" s="1">
        <v>43334</v>
      </c>
      <c r="B116" t="s">
        <v>6</v>
      </c>
      <c r="C116" s="96" t="s">
        <v>5</v>
      </c>
      <c r="D116" s="107" t="s">
        <v>127</v>
      </c>
      <c r="E116" s="81">
        <v>3.5</v>
      </c>
      <c r="F116" s="69">
        <v>1</v>
      </c>
      <c r="G116" s="42">
        <v>7200</v>
      </c>
      <c r="H116" s="5"/>
      <c r="I116" s="5"/>
      <c r="J116" s="61">
        <f>(Table5[[#This Row],[RPM]]/5400-1)</f>
        <v>0.33333333333333326</v>
      </c>
      <c r="K116" s="45">
        <v>150</v>
      </c>
      <c r="L116">
        <v>5</v>
      </c>
      <c r="M116" s="36">
        <v>300000</v>
      </c>
      <c r="O116" s="36"/>
      <c r="P116" s="35">
        <f t="shared" si="15"/>
        <v>100000000000000</v>
      </c>
      <c r="Q116" s="53"/>
      <c r="R116" s="5">
        <v>6.8</v>
      </c>
      <c r="S116" s="5">
        <v>6.1</v>
      </c>
      <c r="T116" s="108">
        <v>0.8</v>
      </c>
      <c r="U116" s="111">
        <f>(((Table5[[#This Row],[Watts Active]]*Power_On_Hours_Year/1000)*Active_Duty_Cycle)+((Table5[[#This Row],[Watts Idle]]*Power_On_Hours_Year/1000)*(100%-Active_Duty_Cycle)))*CostPerKWH</f>
        <v>6.8372928000000002</v>
      </c>
      <c r="V116" s="142">
        <f>Table5[Energy$year]/Table5[[#This Row],[SizTB]]</f>
        <v>6.8372928000000002</v>
      </c>
      <c r="W116" s="141">
        <v>54.99</v>
      </c>
      <c r="X116" s="6">
        <f>IF(Table5[[#This Row],[Cost]],Table5[[#This Row],[Cost]]/Table5[[#This Row],[SizTB]]*Exchange_Rate,"")</f>
        <v>54.99</v>
      </c>
      <c r="Y116" s="146">
        <f>Table5[[#This Row],[Cost]]+((CompareWarrYrs-Table5[[#This Row],[Warranty]])*(Incremental_Warr_Yr*Table5[[#This Row],[Cost]]))*Exchange_Rate</f>
        <v>54.99</v>
      </c>
      <c r="Z116" s="6">
        <f>IF(Table5[[#This Row],[$+Warr]],Table5[[#This Row],[$+Warr]]/Table5[[#This Row],[SizTB]],"")</f>
        <v>54.99</v>
      </c>
      <c r="AA116" s="6">
        <f>Table5[[#This Row],[$PerTB]]/CompareWarrYrs</f>
        <v>10.998000000000001</v>
      </c>
      <c r="AB116" s="6">
        <f>IF(OR(Table5[[#This Row],[$ TB/year]]="",Table5[[#This Row],[Energy$yearPerTB]]=""),"",Table5[[#This Row],[$ TB/year]]+Table5[[#This Row],[Energy$yearPerTB]])</f>
        <v>17.835292800000001</v>
      </c>
      <c r="AC116" s="156">
        <v>29</v>
      </c>
      <c r="AD116" s="157">
        <v>30</v>
      </c>
      <c r="AE116" s="40"/>
    </row>
    <row r="117" spans="1:31" x14ac:dyDescent="0.25">
      <c r="A117" s="1">
        <v>43334</v>
      </c>
      <c r="B117" t="s">
        <v>6</v>
      </c>
      <c r="C117" s="96" t="s">
        <v>5</v>
      </c>
      <c r="D117" s="107" t="s">
        <v>127</v>
      </c>
      <c r="E117" s="81">
        <v>3.5</v>
      </c>
      <c r="F117" s="69">
        <v>2</v>
      </c>
      <c r="G117" s="42">
        <v>7200</v>
      </c>
      <c r="H117" s="5"/>
      <c r="I117" s="5"/>
      <c r="J117" s="61">
        <f>(Table5[[#This Row],[RPM]]/5400-1)</f>
        <v>0.33333333333333326</v>
      </c>
      <c r="K117" s="45">
        <v>164</v>
      </c>
      <c r="L117">
        <v>5</v>
      </c>
      <c r="M117" s="36">
        <v>300000</v>
      </c>
      <c r="O117" s="36"/>
      <c r="P117" s="35">
        <f t="shared" si="15"/>
        <v>100000000000000</v>
      </c>
      <c r="Q117" s="53"/>
      <c r="R117" s="5">
        <v>9.5</v>
      </c>
      <c r="S117" s="5">
        <v>8.1</v>
      </c>
      <c r="T117" s="108">
        <v>1.3</v>
      </c>
      <c r="U117" s="111">
        <f>(((Table5[[#This Row],[Watts Active]]*Power_On_Hours_Year/1000)*Active_Duty_Cycle)+((Table5[[#This Row],[Watts Idle]]*Power_On_Hours_Year/1000)*(100%-Active_Duty_Cycle)))*CostPerKWH</f>
        <v>9.1821336000000002</v>
      </c>
      <c r="V117" s="142">
        <f>Table5[Energy$year]/Table5[[#This Row],[SizTB]]</f>
        <v>4.5910668000000001</v>
      </c>
      <c r="W117" s="141">
        <v>99.99</v>
      </c>
      <c r="X117" s="6">
        <f>IF(Table5[[#This Row],[Cost]],Table5[[#This Row],[Cost]]/Table5[[#This Row],[SizTB]]*Exchange_Rate,"")</f>
        <v>49.994999999999997</v>
      </c>
      <c r="Y117" s="146">
        <f>Table5[[#This Row],[Cost]]+((CompareWarrYrs-Table5[[#This Row],[Warranty]])*(Incremental_Warr_Yr*Table5[[#This Row],[Cost]]))*Exchange_Rate</f>
        <v>99.99</v>
      </c>
      <c r="Z117" s="6">
        <f>IF(Table5[[#This Row],[$+Warr]],Table5[[#This Row],[$+Warr]]/Table5[[#This Row],[SizTB]],"")</f>
        <v>49.994999999999997</v>
      </c>
      <c r="AA117" s="6">
        <f>Table5[[#This Row],[$PerTB]]/CompareWarrYrs</f>
        <v>9.9989999999999988</v>
      </c>
      <c r="AB117" s="6">
        <f>IF(OR(Table5[[#This Row],[$ TB/year]]="",Table5[[#This Row],[Energy$yearPerTB]]=""),"",Table5[[#This Row],[$ TB/year]]+Table5[[#This Row],[Energy$yearPerTB]])</f>
        <v>14.590066799999999</v>
      </c>
      <c r="AC117" s="156">
        <v>29</v>
      </c>
      <c r="AD117" s="157">
        <v>34</v>
      </c>
      <c r="AE117" s="40"/>
    </row>
    <row r="118" spans="1:31" x14ac:dyDescent="0.25">
      <c r="A118" s="1">
        <v>43298</v>
      </c>
      <c r="B118" t="s">
        <v>6</v>
      </c>
      <c r="C118" s="96" t="s">
        <v>5</v>
      </c>
      <c r="D118" s="107" t="s">
        <v>127</v>
      </c>
      <c r="E118" s="81">
        <v>3.5</v>
      </c>
      <c r="F118" s="69">
        <v>4</v>
      </c>
      <c r="G118" s="42">
        <v>7200</v>
      </c>
      <c r="H118" s="5"/>
      <c r="I118" s="5"/>
      <c r="J118" s="61">
        <f>(Table5[[#This Row],[RPM]]/5400-1)</f>
        <v>0.33333333333333326</v>
      </c>
      <c r="K118" s="45">
        <v>202</v>
      </c>
      <c r="L118">
        <v>5</v>
      </c>
      <c r="M118" s="36">
        <v>300000</v>
      </c>
      <c r="O118" s="36"/>
      <c r="P118" s="35">
        <f t="shared" si="15"/>
        <v>100000000000000</v>
      </c>
      <c r="Q118" s="53"/>
      <c r="R118" s="5">
        <v>9.1</v>
      </c>
      <c r="S118" s="5">
        <v>5.8</v>
      </c>
      <c r="T118" s="108">
        <v>1</v>
      </c>
      <c r="U118" s="111">
        <f>(((Table5[[#This Row],[Watts Active]]*Power_On_Hours_Year/1000)*Active_Duty_Cycle)+((Table5[[#This Row],[Watts Idle]]*Power_On_Hours_Year/1000)*(100%-Active_Duty_Cycle)))*CostPerKWH</f>
        <v>7.0783512000000002</v>
      </c>
      <c r="V118" s="142">
        <f>Table5[Energy$year]/Table5[[#This Row],[SizTB]]</f>
        <v>1.7695878</v>
      </c>
      <c r="W118" s="141">
        <v>182.99</v>
      </c>
      <c r="X118" s="6">
        <f>IF(Table5[[#This Row],[Cost]],Table5[[#This Row],[Cost]]/Table5[[#This Row],[SizTB]]*Exchange_Rate,"")</f>
        <v>45.747500000000002</v>
      </c>
      <c r="Y118" s="146">
        <f>Table5[[#This Row],[Cost]]+((CompareWarrYrs-Table5[[#This Row],[Warranty]])*(Incremental_Warr_Yr*Table5[[#This Row],[Cost]]))*Exchange_Rate</f>
        <v>182.99</v>
      </c>
      <c r="Z118" s="6">
        <f>IF(Table5[[#This Row],[$+Warr]],Table5[[#This Row],[$+Warr]]/Table5[[#This Row],[SizTB]],"")</f>
        <v>45.747500000000002</v>
      </c>
      <c r="AA118" s="6">
        <f>Table5[[#This Row],[$PerTB]]/CompareWarrYrs</f>
        <v>9.1494999999999997</v>
      </c>
      <c r="AB118" s="6">
        <f>IF(OR(Table5[[#This Row],[$ TB/year]]="",Table5[[#This Row],[Energy$yearPerTB]]=""),"",Table5[[#This Row],[$ TB/year]]+Table5[[#This Row],[Energy$yearPerTB]])</f>
        <v>10.9190878</v>
      </c>
      <c r="AC118" s="156">
        <v>29</v>
      </c>
      <c r="AD118" s="157">
        <v>36</v>
      </c>
      <c r="AE118" s="40"/>
    </row>
    <row r="119" spans="1:31" x14ac:dyDescent="0.25">
      <c r="A119" s="1">
        <v>43334</v>
      </c>
      <c r="B119" t="s">
        <v>6</v>
      </c>
      <c r="C119" s="96" t="s">
        <v>5</v>
      </c>
      <c r="D119" s="107" t="s">
        <v>127</v>
      </c>
      <c r="E119" s="81">
        <v>3.5</v>
      </c>
      <c r="F119" s="69">
        <v>6</v>
      </c>
      <c r="G119" s="42">
        <v>7200</v>
      </c>
      <c r="H119" s="5"/>
      <c r="I119" s="5"/>
      <c r="J119" s="61">
        <f>(Table5[[#This Row],[RPM]]/5400-1)</f>
        <v>0.33333333333333326</v>
      </c>
      <c r="K119" s="45">
        <v>227</v>
      </c>
      <c r="L119">
        <v>5</v>
      </c>
      <c r="M119" s="36">
        <v>300000</v>
      </c>
      <c r="O119" s="36"/>
      <c r="P119" s="35">
        <f t="shared" si="15"/>
        <v>100000000000000</v>
      </c>
      <c r="Q119" s="53"/>
      <c r="R119" s="5">
        <v>9.1</v>
      </c>
      <c r="S119" s="5">
        <v>7.1</v>
      </c>
      <c r="T119" s="108">
        <v>1</v>
      </c>
      <c r="U119" s="111">
        <f>(((Table5[[#This Row],[Watts Active]]*Power_On_Hours_Year/1000)*Active_Duty_Cycle)+((Table5[[#This Row],[Watts Idle]]*Power_On_Hours_Year/1000)*(100%-Active_Duty_Cycle)))*CostPerKWH</f>
        <v>8.2179000000000002</v>
      </c>
      <c r="V119" s="142">
        <f>Table5[Energy$year]/Table5[[#This Row],[SizTB]]</f>
        <v>1.36965</v>
      </c>
      <c r="W119" s="141">
        <f>419.99/2</f>
        <v>209.995</v>
      </c>
      <c r="X119" s="6">
        <f>IF(Table5[[#This Row],[Cost]],Table5[[#This Row],[Cost]]/Table5[[#This Row],[SizTB]]*Exchange_Rate,"")</f>
        <v>34.999166666666667</v>
      </c>
      <c r="Y119" s="146">
        <f>Table5[[#This Row],[Cost]]+((CompareWarrYrs-Table5[[#This Row],[Warranty]])*(Incremental_Warr_Yr*Table5[[#This Row],[Cost]]))*Exchange_Rate</f>
        <v>209.995</v>
      </c>
      <c r="Z119" s="6">
        <f>IF(Table5[[#This Row],[$+Warr]],Table5[[#This Row],[$+Warr]]/Table5[[#This Row],[SizTB]],"")</f>
        <v>34.999166666666667</v>
      </c>
      <c r="AA119" s="6">
        <f>Table5[[#This Row],[$PerTB]]/CompareWarrYrs</f>
        <v>6.9998333333333331</v>
      </c>
      <c r="AB119" s="6">
        <f>IF(OR(Table5[[#This Row],[$ TB/year]]="",Table5[[#This Row],[Energy$yearPerTB]]=""),"",Table5[[#This Row],[$ TB/year]]+Table5[[#This Row],[Energy$yearPerTB]])</f>
        <v>8.3694833333333332</v>
      </c>
      <c r="AC119" s="156">
        <v>29</v>
      </c>
      <c r="AD119" s="157">
        <v>36</v>
      </c>
      <c r="AE119" s="40"/>
    </row>
    <row r="120" spans="1:31" x14ac:dyDescent="0.25">
      <c r="A120" s="1">
        <v>43284</v>
      </c>
      <c r="B120" t="s">
        <v>6</v>
      </c>
      <c r="C120" s="96" t="s">
        <v>27</v>
      </c>
      <c r="D120" s="107" t="s">
        <v>126</v>
      </c>
      <c r="E120" s="81">
        <v>2.5</v>
      </c>
      <c r="F120" s="69">
        <v>1</v>
      </c>
      <c r="G120" s="42">
        <v>5400</v>
      </c>
      <c r="H120" s="5"/>
      <c r="I120" s="5"/>
      <c r="J120" s="61">
        <f>(Table5[[#This Row],[RPM]]/5400-1)</f>
        <v>0</v>
      </c>
      <c r="K120" s="45"/>
      <c r="L120">
        <v>2</v>
      </c>
      <c r="M120" s="36">
        <v>600000</v>
      </c>
      <c r="O120" s="36"/>
      <c r="P120" s="35">
        <f t="shared" ref="P120:P126" si="16">10^14</f>
        <v>100000000000000</v>
      </c>
      <c r="Q120" s="53">
        <v>5</v>
      </c>
      <c r="R120" s="5">
        <v>1.5</v>
      </c>
      <c r="S120" s="5">
        <v>0.5</v>
      </c>
      <c r="T120" s="108">
        <v>0.1</v>
      </c>
      <c r="U120" s="111">
        <f>(((Table5[[#This Row],[Watts Active]]*Power_On_Hours_Year/1000)*Active_Duty_Cycle)+((Table5[[#This Row],[Watts Idle]]*Power_On_Hours_Year/1000)*(100%-Active_Duty_Cycle)))*CostPerKWH</f>
        <v>0.76700400000000002</v>
      </c>
      <c r="V120" s="142">
        <f>Table5[Energy$year]/Table5[[#This Row],[SizTB]]</f>
        <v>0.76700400000000002</v>
      </c>
      <c r="W120" s="141">
        <v>44.99</v>
      </c>
      <c r="X120" s="6">
        <f>IF(Table5[[#This Row],[Cost]],Table5[[#This Row],[Cost]]/Table5[[#This Row],[SizTB]]*Exchange_Rate,"")</f>
        <v>44.99</v>
      </c>
      <c r="Y120" s="146">
        <f>Table5[[#This Row],[Cost]]+((CompareWarrYrs-Table5[[#This Row],[Warranty]])*(Incremental_Warr_Yr*Table5[[#This Row],[Cost]]))*Exchange_Rate</f>
        <v>59.8367</v>
      </c>
      <c r="Z120" s="6">
        <f>IF(Table5[[#This Row],[$+Warr]],Table5[[#This Row],[$+Warr]]/Table5[[#This Row],[SizTB]],"")</f>
        <v>59.8367</v>
      </c>
      <c r="AA120" s="6">
        <f>Table5[[#This Row],[$PerTB]]/CompareWarrYrs</f>
        <v>11.96734</v>
      </c>
      <c r="AB120" s="6">
        <f>IF(OR(Table5[[#This Row],[$ TB/year]]="",Table5[[#This Row],[Energy$yearPerTB]]=""),"",Table5[[#This Row],[$ TB/year]]+Table5[[#This Row],[Energy$yearPerTB]])</f>
        <v>12.734344</v>
      </c>
      <c r="AC120" s="156"/>
      <c r="AD120" s="157"/>
      <c r="AE120" s="40"/>
    </row>
    <row r="121" spans="1:31" x14ac:dyDescent="0.25">
      <c r="A121" s="1">
        <v>43114</v>
      </c>
      <c r="B121" t="s">
        <v>6</v>
      </c>
      <c r="C121" s="96" t="s">
        <v>27</v>
      </c>
      <c r="D121" s="107" t="s">
        <v>126</v>
      </c>
      <c r="E121" s="81">
        <v>2.5</v>
      </c>
      <c r="F121" s="69">
        <v>2</v>
      </c>
      <c r="G121" s="42">
        <v>5400</v>
      </c>
      <c r="H121" s="5"/>
      <c r="I121" s="5"/>
      <c r="J121" s="61">
        <f>(Table5[[#This Row],[RPM]]/5400-1)</f>
        <v>0</v>
      </c>
      <c r="K121" s="45"/>
      <c r="L121">
        <v>2</v>
      </c>
      <c r="M121" s="36">
        <v>600000</v>
      </c>
      <c r="O121" s="36"/>
      <c r="P121" s="35">
        <f t="shared" si="16"/>
        <v>100000000000000</v>
      </c>
      <c r="Q121" s="53">
        <v>5</v>
      </c>
      <c r="R121" s="5">
        <v>1.7</v>
      </c>
      <c r="S121" s="5">
        <v>0.8</v>
      </c>
      <c r="T121" s="108">
        <v>0.2</v>
      </c>
      <c r="U121" s="111">
        <f>(((Table5[[#This Row],[Watts Active]]*Power_On_Hours_Year/1000)*Active_Duty_Cycle)+((Table5[[#This Row],[Watts Idle]]*Power_On_Hours_Year/1000)*(100%-Active_Duty_Cycle)))*CostPerKWH</f>
        <v>1.0738056</v>
      </c>
      <c r="V121" s="142">
        <f>Table5[Energy$year]/Table5[[#This Row],[SizTB]]</f>
        <v>0.53690280000000001</v>
      </c>
      <c r="W121" s="141">
        <v>136.25</v>
      </c>
      <c r="X121" s="6">
        <f>IF(Table5[[#This Row],[Cost]],Table5[[#This Row],[Cost]]/Table5[[#This Row],[SizTB]]*Exchange_Rate,"")</f>
        <v>68.125</v>
      </c>
      <c r="Y121" s="146">
        <f>Table5[[#This Row],[Cost]]+((CompareWarrYrs-Table5[[#This Row],[Warranty]])*(Incremental_Warr_Yr*Table5[[#This Row],[Cost]]))*Exchange_Rate</f>
        <v>181.21250000000001</v>
      </c>
      <c r="Z121" s="6">
        <f>IF(Table5[[#This Row],[$+Warr]],Table5[[#This Row],[$+Warr]]/Table5[[#This Row],[SizTB]],"")</f>
        <v>90.606250000000003</v>
      </c>
      <c r="AA121" s="6">
        <f>Table5[[#This Row],[$PerTB]]/CompareWarrYrs</f>
        <v>18.12125</v>
      </c>
      <c r="AB121" s="6">
        <f>IF(OR(Table5[[#This Row],[$ TB/year]]="",Table5[[#This Row],[Energy$yearPerTB]]=""),"",Table5[[#This Row],[$ TB/year]]+Table5[[#This Row],[Energy$yearPerTB]])</f>
        <v>18.6581528</v>
      </c>
      <c r="AC121" s="156"/>
      <c r="AD121" s="157"/>
      <c r="AE121" s="40"/>
    </row>
    <row r="122" spans="1:31" x14ac:dyDescent="0.25">
      <c r="A122" s="1">
        <v>43314</v>
      </c>
      <c r="B122" t="s">
        <v>6</v>
      </c>
      <c r="C122" s="96" t="s">
        <v>27</v>
      </c>
      <c r="D122" s="107" t="s">
        <v>127</v>
      </c>
      <c r="E122" s="81">
        <v>3.5</v>
      </c>
      <c r="F122" s="69">
        <v>1</v>
      </c>
      <c r="G122" s="42">
        <v>5400</v>
      </c>
      <c r="H122" s="5"/>
      <c r="I122" s="5"/>
      <c r="J122" s="61">
        <f>(Table5[[#This Row],[RPM]]/5400-1)</f>
        <v>0</v>
      </c>
      <c r="K122" s="45">
        <v>150</v>
      </c>
      <c r="L122">
        <v>2</v>
      </c>
      <c r="M122" s="36">
        <v>300000</v>
      </c>
      <c r="O122" s="36"/>
      <c r="P122" s="35">
        <f t="shared" si="16"/>
        <v>100000000000000</v>
      </c>
      <c r="Q122" s="53"/>
      <c r="R122" s="5">
        <v>3.3</v>
      </c>
      <c r="S122" s="5">
        <v>2.5</v>
      </c>
      <c r="T122" s="108">
        <v>0.4</v>
      </c>
      <c r="U122" s="111">
        <f>(((Table5[[#This Row],[Watts Active]]*Power_On_Hours_Year/1000)*Active_Duty_Cycle)+((Table5[[#This Row],[Watts Idle]]*Power_On_Hours_Year/1000)*(100%-Active_Duty_Cycle)))*CostPerKWH</f>
        <v>2.9146152000000001</v>
      </c>
      <c r="V122" s="142">
        <f>Table5[Energy$year]/Table5[[#This Row],[SizTB]]</f>
        <v>2.9146152000000001</v>
      </c>
      <c r="W122" s="141">
        <v>44.99</v>
      </c>
      <c r="X122" s="6">
        <f>IF(Table5[[#This Row],[Cost]],Table5[[#This Row],[Cost]]/Table5[[#This Row],[SizTB]]*Exchange_Rate,"")</f>
        <v>44.99</v>
      </c>
      <c r="Y122" s="146">
        <f>Table5[[#This Row],[Cost]]+((CompareWarrYrs-Table5[[#This Row],[Warranty]])*(Incremental_Warr_Yr*Table5[[#This Row],[Cost]]))*Exchange_Rate</f>
        <v>59.8367</v>
      </c>
      <c r="Z122" s="6">
        <f>IF(Table5[[#This Row],[$+Warr]],Table5[[#This Row],[$+Warr]]/Table5[[#This Row],[SizTB]],"")</f>
        <v>59.8367</v>
      </c>
      <c r="AA122" s="6">
        <f>Table5[[#This Row],[$PerTB]]/CompareWarrYrs</f>
        <v>11.96734</v>
      </c>
      <c r="AB122" s="6">
        <f>IF(OR(Table5[[#This Row],[$ TB/year]]="",Table5[[#This Row],[Energy$yearPerTB]]=""),"",Table5[[#This Row],[$ TB/year]]+Table5[[#This Row],[Energy$yearPerTB]])</f>
        <v>14.8819552</v>
      </c>
      <c r="AC122" s="156">
        <v>21</v>
      </c>
      <c r="AD122" s="157">
        <v>24</v>
      </c>
      <c r="AE122" s="40"/>
    </row>
    <row r="123" spans="1:31" x14ac:dyDescent="0.25">
      <c r="A123" s="1">
        <v>43334</v>
      </c>
      <c r="B123" t="s">
        <v>6</v>
      </c>
      <c r="C123" s="96" t="s">
        <v>27</v>
      </c>
      <c r="D123" s="107" t="s">
        <v>127</v>
      </c>
      <c r="E123" s="81">
        <v>3.5</v>
      </c>
      <c r="F123" s="69">
        <v>2</v>
      </c>
      <c r="G123" s="42">
        <v>5400</v>
      </c>
      <c r="H123" s="5"/>
      <c r="I123" s="5"/>
      <c r="J123" s="61">
        <f>(Table5[[#This Row],[RPM]]/5400-1)</f>
        <v>0</v>
      </c>
      <c r="K123" s="45">
        <v>147</v>
      </c>
      <c r="L123">
        <v>2</v>
      </c>
      <c r="M123" s="36">
        <v>300000</v>
      </c>
      <c r="O123" s="36"/>
      <c r="P123" s="35">
        <f t="shared" si="16"/>
        <v>100000000000000</v>
      </c>
      <c r="Q123" s="53">
        <f>12*1.73</f>
        <v>20.759999999999998</v>
      </c>
      <c r="R123" s="5">
        <v>4.0999999999999996</v>
      </c>
      <c r="S123" s="5">
        <v>3</v>
      </c>
      <c r="T123" s="108">
        <v>0.4</v>
      </c>
      <c r="U123" s="111">
        <f>(((Table5[[#This Row],[Watts Active]]*Power_On_Hours_Year/1000)*Active_Duty_Cycle)+((Table5[[#This Row],[Watts Idle]]*Power_On_Hours_Year/1000)*(100%-Active_Duty_Cycle)))*CostPerKWH</f>
        <v>3.5282184000000001</v>
      </c>
      <c r="V123" s="142">
        <f>Table5[Energy$year]/Table5[[#This Row],[SizTB]]</f>
        <v>1.7641092</v>
      </c>
      <c r="W123" s="141">
        <v>54.99</v>
      </c>
      <c r="X123" s="6">
        <f>IF(Table5[[#This Row],[Cost]],Table5[[#This Row],[Cost]]/Table5[[#This Row],[SizTB]]*Exchange_Rate,"")</f>
        <v>27.495000000000001</v>
      </c>
      <c r="Y123" s="146">
        <f>Table5[[#This Row],[Cost]]+((CompareWarrYrs-Table5[[#This Row],[Warranty]])*(Incremental_Warr_Yr*Table5[[#This Row],[Cost]]))*Exchange_Rate</f>
        <v>73.136700000000005</v>
      </c>
      <c r="Z123" s="6">
        <f>IF(Table5[[#This Row],[$+Warr]],Table5[[#This Row],[$+Warr]]/Table5[[#This Row],[SizTB]],"")</f>
        <v>36.568350000000002</v>
      </c>
      <c r="AA123" s="6">
        <f>Table5[[#This Row],[$PerTB]]/CompareWarrYrs</f>
        <v>7.3136700000000001</v>
      </c>
      <c r="AB123" s="6">
        <f>IF(OR(Table5[[#This Row],[$ TB/year]]="",Table5[[#This Row],[Energy$yearPerTB]]=""),"",Table5[[#This Row],[$ TB/year]]+Table5[[#This Row],[Energy$yearPerTB]])</f>
        <v>9.0777792000000002</v>
      </c>
      <c r="AC123" s="156">
        <v>23</v>
      </c>
      <c r="AD123" s="157">
        <v>27</v>
      </c>
      <c r="AE123" s="40"/>
    </row>
    <row r="124" spans="1:31" x14ac:dyDescent="0.25">
      <c r="A124" s="1">
        <v>43298</v>
      </c>
      <c r="B124" t="s">
        <v>6</v>
      </c>
      <c r="C124" s="96" t="s">
        <v>27</v>
      </c>
      <c r="D124" s="107" t="s">
        <v>127</v>
      </c>
      <c r="E124" s="81">
        <v>3.5</v>
      </c>
      <c r="F124" s="69">
        <v>3</v>
      </c>
      <c r="G124" s="42">
        <v>5400</v>
      </c>
      <c r="H124" s="5"/>
      <c r="I124" s="5"/>
      <c r="J124" s="61">
        <f>(Table5[[#This Row],[RPM]]/5400-1)</f>
        <v>0</v>
      </c>
      <c r="K124" s="45">
        <v>147</v>
      </c>
      <c r="L124">
        <v>2</v>
      </c>
      <c r="M124" s="36">
        <v>300000</v>
      </c>
      <c r="O124" s="36"/>
      <c r="P124" s="35">
        <f t="shared" si="16"/>
        <v>100000000000000</v>
      </c>
      <c r="Q124" s="53">
        <f>12*1.73</f>
        <v>20.759999999999998</v>
      </c>
      <c r="R124" s="5">
        <v>4.0999999999999996</v>
      </c>
      <c r="S124" s="5">
        <v>3</v>
      </c>
      <c r="T124" s="108">
        <v>0.4</v>
      </c>
      <c r="U124" s="111">
        <f>(((Table5[[#This Row],[Watts Active]]*Power_On_Hours_Year/1000)*Active_Duty_Cycle)+((Table5[[#This Row],[Watts Idle]]*Power_On_Hours_Year/1000)*(100%-Active_Duty_Cycle)))*CostPerKWH</f>
        <v>3.5282184000000001</v>
      </c>
      <c r="V124" s="142">
        <f>Table5[Energy$year]/Table5[[#This Row],[SizTB]]</f>
        <v>1.1760728</v>
      </c>
      <c r="W124" s="141">
        <v>91.99</v>
      </c>
      <c r="X124" s="6">
        <f>IF(Table5[[#This Row],[Cost]],Table5[[#This Row],[Cost]]/Table5[[#This Row],[SizTB]]*Exchange_Rate,"")</f>
        <v>30.66333333333333</v>
      </c>
      <c r="Y124" s="146">
        <f>Table5[[#This Row],[Cost]]+((CompareWarrYrs-Table5[[#This Row],[Warranty]])*(Incremental_Warr_Yr*Table5[[#This Row],[Cost]]))*Exchange_Rate</f>
        <v>122.3467</v>
      </c>
      <c r="Z124" s="6">
        <f>IF(Table5[[#This Row],[$+Warr]],Table5[[#This Row],[$+Warr]]/Table5[[#This Row],[SizTB]],"")</f>
        <v>40.78223333333333</v>
      </c>
      <c r="AA124" s="6">
        <f>Table5[[#This Row],[$PerTB]]/CompareWarrYrs</f>
        <v>8.1564466666666657</v>
      </c>
      <c r="AB124" s="6">
        <f>IF(OR(Table5[[#This Row],[$ TB/year]]="",Table5[[#This Row],[Energy$yearPerTB]]=""),"",Table5[[#This Row],[$ TB/year]]+Table5[[#This Row],[Energy$yearPerTB]])</f>
        <v>9.3325194666666658</v>
      </c>
      <c r="AC124" s="156">
        <v>23</v>
      </c>
      <c r="AD124" s="157">
        <v>27</v>
      </c>
      <c r="AE124" s="40"/>
    </row>
    <row r="125" spans="1:31" x14ac:dyDescent="0.25">
      <c r="A125" s="1">
        <v>43298</v>
      </c>
      <c r="B125" t="s">
        <v>6</v>
      </c>
      <c r="C125" s="96" t="s">
        <v>27</v>
      </c>
      <c r="D125" s="107" t="s">
        <v>127</v>
      </c>
      <c r="E125" s="81">
        <v>3.5</v>
      </c>
      <c r="F125" s="69">
        <v>4</v>
      </c>
      <c r="G125" s="42">
        <v>5400</v>
      </c>
      <c r="H125" s="5"/>
      <c r="I125" s="5"/>
      <c r="J125" s="61">
        <f>(Table5[[#This Row],[RPM]]/5400-1)</f>
        <v>0</v>
      </c>
      <c r="K125" s="45">
        <v>150</v>
      </c>
      <c r="L125">
        <v>2</v>
      </c>
      <c r="M125" s="36">
        <v>300000</v>
      </c>
      <c r="O125" s="36"/>
      <c r="P125" s="35">
        <f t="shared" si="16"/>
        <v>100000000000000</v>
      </c>
      <c r="Q125" s="53">
        <f>12*1.75</f>
        <v>21</v>
      </c>
      <c r="R125" s="5">
        <v>5.3</v>
      </c>
      <c r="S125" s="5">
        <v>3.4</v>
      </c>
      <c r="T125" s="108">
        <v>0.4</v>
      </c>
      <c r="U125" s="111">
        <f>(((Table5[[#This Row],[Watts Active]]*Power_On_Hours_Year/1000)*Active_Duty_Cycle)+((Table5[[#This Row],[Watts Idle]]*Power_On_Hours_Year/1000)*(100%-Active_Duty_Cycle)))*CostPerKWH</f>
        <v>4.1418216000000001</v>
      </c>
      <c r="V125" s="142">
        <f>Table5[Energy$year]/Table5[[#This Row],[SizTB]]</f>
        <v>1.0354554</v>
      </c>
      <c r="W125" s="141">
        <v>104.99</v>
      </c>
      <c r="X125" s="6">
        <f>IF(Table5[[#This Row],[Cost]],Table5[[#This Row],[Cost]]/Table5[[#This Row],[SizTB]]*Exchange_Rate,"")</f>
        <v>26.247499999999999</v>
      </c>
      <c r="Y125" s="146">
        <f>Table5[[#This Row],[Cost]]+((CompareWarrYrs-Table5[[#This Row],[Warranty]])*(Incremental_Warr_Yr*Table5[[#This Row],[Cost]]))*Exchange_Rate</f>
        <v>139.63669999999999</v>
      </c>
      <c r="Z125" s="6">
        <f>IF(Table5[[#This Row],[$+Warr]],Table5[[#This Row],[$+Warr]]/Table5[[#This Row],[SizTB]],"")</f>
        <v>34.909174999999998</v>
      </c>
      <c r="AA125" s="6">
        <f>Table5[[#This Row],[$PerTB]]/CompareWarrYrs</f>
        <v>6.9818349999999993</v>
      </c>
      <c r="AB125" s="6">
        <f>IF(OR(Table5[[#This Row],[$ TB/year]]="",Table5[[#This Row],[Energy$yearPerTB]]=""),"",Table5[[#This Row],[$ TB/year]]+Table5[[#This Row],[Energy$yearPerTB]])</f>
        <v>8.0172904000000003</v>
      </c>
      <c r="AC125" s="156">
        <v>25</v>
      </c>
      <c r="AD125" s="157">
        <v>28</v>
      </c>
      <c r="AE125" s="40"/>
    </row>
    <row r="126" spans="1:31" x14ac:dyDescent="0.25">
      <c r="A126" s="1">
        <v>43298</v>
      </c>
      <c r="B126" t="s">
        <v>6</v>
      </c>
      <c r="C126" s="96" t="s">
        <v>27</v>
      </c>
      <c r="D126" s="107" t="s">
        <v>127</v>
      </c>
      <c r="E126" s="81">
        <v>3.5</v>
      </c>
      <c r="F126" s="69">
        <v>6</v>
      </c>
      <c r="G126" s="42">
        <v>5400</v>
      </c>
      <c r="H126" s="5"/>
      <c r="I126" s="5"/>
      <c r="J126" s="61">
        <f>(Table5[[#This Row],[RPM]]/5400-1)</f>
        <v>0</v>
      </c>
      <c r="K126" s="45">
        <v>175</v>
      </c>
      <c r="L126">
        <v>2</v>
      </c>
      <c r="M126" s="36">
        <v>300000</v>
      </c>
      <c r="O126" s="36"/>
      <c r="P126" s="35">
        <f t="shared" si="16"/>
        <v>100000000000000</v>
      </c>
      <c r="Q126" s="53">
        <f>12*1.75</f>
        <v>21</v>
      </c>
      <c r="R126" s="5">
        <v>5.3</v>
      </c>
      <c r="S126" s="5">
        <v>3.4</v>
      </c>
      <c r="T126" s="108">
        <v>0.4</v>
      </c>
      <c r="U126" s="111">
        <f>(((Table5[[#This Row],[Watts Active]]*Power_On_Hours_Year/1000)*Active_Duty_Cycle)+((Table5[[#This Row],[Watts Idle]]*Power_On_Hours_Year/1000)*(100%-Active_Duty_Cycle)))*CostPerKWH</f>
        <v>4.1418216000000001</v>
      </c>
      <c r="V126" s="142">
        <f>Table5[Energy$year]/Table5[[#This Row],[SizTB]]</f>
        <v>0.69030360000000002</v>
      </c>
      <c r="W126" s="141">
        <v>176.99</v>
      </c>
      <c r="X126" s="6">
        <f>IF(Table5[[#This Row],[Cost]],Table5[[#This Row],[Cost]]/Table5[[#This Row],[SizTB]]*Exchange_Rate,"")</f>
        <v>29.498333333333335</v>
      </c>
      <c r="Y126" s="146">
        <f>Table5[[#This Row],[Cost]]+((CompareWarrYrs-Table5[[#This Row],[Warranty]])*(Incremental_Warr_Yr*Table5[[#This Row],[Cost]]))*Exchange_Rate</f>
        <v>235.39670000000001</v>
      </c>
      <c r="Z126" s="6">
        <f>IF(Table5[[#This Row],[$+Warr]],Table5[[#This Row],[$+Warr]]/Table5[[#This Row],[SizTB]],"")</f>
        <v>39.232783333333337</v>
      </c>
      <c r="AA126" s="6">
        <f>Table5[[#This Row],[$PerTB]]/CompareWarrYrs</f>
        <v>7.8465566666666673</v>
      </c>
      <c r="AB126" s="6">
        <f>IF(OR(Table5[[#This Row],[$ TB/year]]="",Table5[[#This Row],[Energy$yearPerTB]]=""),"",Table5[[#This Row],[$ TB/year]]+Table5[[#This Row],[Energy$yearPerTB]])</f>
        <v>8.5368602666666682</v>
      </c>
      <c r="AC126" s="156">
        <v>25</v>
      </c>
      <c r="AD126" s="157">
        <v>28</v>
      </c>
      <c r="AE126" s="40"/>
    </row>
    <row r="127" spans="1:31" x14ac:dyDescent="0.25">
      <c r="A127" s="1">
        <v>43306</v>
      </c>
      <c r="B127" t="s">
        <v>6</v>
      </c>
      <c r="C127" s="96" t="s">
        <v>57</v>
      </c>
      <c r="D127" s="27" t="s">
        <v>49</v>
      </c>
      <c r="E127" s="81">
        <v>3.5</v>
      </c>
      <c r="F127" s="69">
        <v>1</v>
      </c>
      <c r="G127" s="42">
        <v>7200</v>
      </c>
      <c r="H127" s="5"/>
      <c r="I127" s="5"/>
      <c r="J127" s="61">
        <f>(Table5[[#This Row],[RPM]]/5400-1)</f>
        <v>0.33333333333333326</v>
      </c>
      <c r="K127" s="45">
        <v>184</v>
      </c>
      <c r="L127">
        <v>5</v>
      </c>
      <c r="M127" s="36">
        <v>600000</v>
      </c>
      <c r="N127">
        <v>550</v>
      </c>
      <c r="O127" s="36">
        <v>2000000</v>
      </c>
      <c r="P127" s="35">
        <v>1000000000000000</v>
      </c>
      <c r="Q127" s="53"/>
      <c r="R127" s="5">
        <v>8.1</v>
      </c>
      <c r="S127" s="5">
        <v>5.9</v>
      </c>
      <c r="T127" s="108"/>
      <c r="U127" s="111">
        <f>(((Table5[[#This Row],[Watts Active]]*Power_On_Hours_Year/1000)*Active_Duty_Cycle)+((Table5[[#This Row],[Watts Idle]]*Power_On_Hours_Year/1000)*(100%-Active_Duty_Cycle)))*CostPerKWH</f>
        <v>6.9468648000000002</v>
      </c>
      <c r="V127" s="142">
        <f>Table5[Energy$year]/Table5[[#This Row],[SizTB]]</f>
        <v>6.9468648000000002</v>
      </c>
      <c r="W127" s="141">
        <f>145.99/2</f>
        <v>72.995000000000005</v>
      </c>
      <c r="X127" s="6">
        <f>IF(Table5[[#This Row],[Cost]],Table5[[#This Row],[Cost]]/Table5[[#This Row],[SizTB]]*Exchange_Rate,"")</f>
        <v>72.995000000000005</v>
      </c>
      <c r="Y127" s="146">
        <f>Table5[[#This Row],[Cost]]+((CompareWarrYrs-Table5[[#This Row],[Warranty]])*(Incremental_Warr_Yr*Table5[[#This Row],[Cost]]))*Exchange_Rate</f>
        <v>72.995000000000005</v>
      </c>
      <c r="Z127" s="6">
        <f>IF(Table5[[#This Row],[$+Warr]],Table5[[#This Row],[$+Warr]]/Table5[[#This Row],[SizTB]],"")</f>
        <v>72.995000000000005</v>
      </c>
      <c r="AA127" s="6">
        <f>Table5[[#This Row],[$PerTB]]/CompareWarrYrs</f>
        <v>14.599</v>
      </c>
      <c r="AB127" s="6">
        <f>IF(OR(Table5[[#This Row],[$ TB/year]]="",Table5[[#This Row],[Energy$yearPerTB]]=""),"",Table5[[#This Row],[$ TB/year]]+Table5[[#This Row],[Energy$yearPerTB]])</f>
        <v>21.5458648</v>
      </c>
      <c r="AC127" s="156">
        <v>25</v>
      </c>
      <c r="AD127" s="157">
        <v>28</v>
      </c>
      <c r="AE127" s="40"/>
    </row>
    <row r="128" spans="1:31" x14ac:dyDescent="0.25">
      <c r="A128" s="1">
        <v>43308</v>
      </c>
      <c r="B128" t="s">
        <v>6</v>
      </c>
      <c r="C128" s="96" t="s">
        <v>57</v>
      </c>
      <c r="D128" s="27" t="s">
        <v>49</v>
      </c>
      <c r="E128" s="81">
        <v>3.5</v>
      </c>
      <c r="F128" s="69">
        <v>2</v>
      </c>
      <c r="G128" s="42">
        <v>7200</v>
      </c>
      <c r="H128" s="5"/>
      <c r="I128" s="5"/>
      <c r="J128" s="61">
        <f>(Table5[[#This Row],[RPM]]/5400-1)</f>
        <v>0.33333333333333326</v>
      </c>
      <c r="K128" s="45">
        <v>200</v>
      </c>
      <c r="L128">
        <v>5</v>
      </c>
      <c r="M128" s="36">
        <v>600000</v>
      </c>
      <c r="N128">
        <v>550</v>
      </c>
      <c r="O128" s="36">
        <v>2000000</v>
      </c>
      <c r="P128" s="35">
        <v>1000000000000000</v>
      </c>
      <c r="Q128" s="53"/>
      <c r="R128" s="5">
        <v>8.1</v>
      </c>
      <c r="S128" s="5">
        <v>5.9</v>
      </c>
      <c r="T128" s="108"/>
      <c r="U128" s="111">
        <f>(((Table5[[#This Row],[Watts Active]]*Power_On_Hours_Year/1000)*Active_Duty_Cycle)+((Table5[[#This Row],[Watts Idle]]*Power_On_Hours_Year/1000)*(100%-Active_Duty_Cycle)))*CostPerKWH</f>
        <v>6.9468648000000002</v>
      </c>
      <c r="V128" s="142">
        <f>Table5[Energy$year]/Table5[[#This Row],[SizTB]]</f>
        <v>3.4734324000000001</v>
      </c>
      <c r="W128" s="141">
        <v>109.99</v>
      </c>
      <c r="X128" s="6">
        <f>IF(Table5[[#This Row],[Cost]],Table5[[#This Row],[Cost]]/Table5[[#This Row],[SizTB]]*Exchange_Rate,"")</f>
        <v>54.994999999999997</v>
      </c>
      <c r="Y128" s="146">
        <f>Table5[[#This Row],[Cost]]+((CompareWarrYrs-Table5[[#This Row],[Warranty]])*(Incremental_Warr_Yr*Table5[[#This Row],[Cost]]))*Exchange_Rate</f>
        <v>109.99</v>
      </c>
      <c r="Z128" s="6">
        <f>IF(Table5[[#This Row],[$+Warr]],Table5[[#This Row],[$+Warr]]/Table5[[#This Row],[SizTB]],"")</f>
        <v>54.994999999999997</v>
      </c>
      <c r="AA128" s="6">
        <f>Table5[[#This Row],[$PerTB]]/CompareWarrYrs</f>
        <v>10.998999999999999</v>
      </c>
      <c r="AB128" s="6">
        <f>IF(OR(Table5[[#This Row],[$ TB/year]]="",Table5[[#This Row],[Energy$yearPerTB]]=""),"",Table5[[#This Row],[$ TB/year]]+Table5[[#This Row],[Energy$yearPerTB]])</f>
        <v>14.472432399999999</v>
      </c>
      <c r="AC128" s="156">
        <v>25</v>
      </c>
      <c r="AD128" s="157">
        <v>28</v>
      </c>
      <c r="AE128" s="40"/>
    </row>
    <row r="129" spans="1:31" x14ac:dyDescent="0.25">
      <c r="A129" s="1">
        <v>43307</v>
      </c>
      <c r="B129" t="s">
        <v>6</v>
      </c>
      <c r="C129" s="96" t="s">
        <v>57</v>
      </c>
      <c r="D129" s="27" t="s">
        <v>49</v>
      </c>
      <c r="E129" s="81">
        <v>3.5</v>
      </c>
      <c r="F129" s="69">
        <v>4</v>
      </c>
      <c r="G129" s="42">
        <v>7200</v>
      </c>
      <c r="H129" s="5"/>
      <c r="I129" s="5"/>
      <c r="J129" s="61">
        <f>(Table5[[#This Row],[RPM]]/5400-1)</f>
        <v>0.33333333333333326</v>
      </c>
      <c r="K129" s="45">
        <v>201</v>
      </c>
      <c r="L129">
        <v>5</v>
      </c>
      <c r="M129" s="36">
        <v>600000</v>
      </c>
      <c r="N129">
        <v>550</v>
      </c>
      <c r="O129" s="36">
        <v>2000000</v>
      </c>
      <c r="P129" s="35">
        <v>1000000000000000</v>
      </c>
      <c r="Q129" s="53"/>
      <c r="R129" s="5">
        <v>9</v>
      </c>
      <c r="S129" s="5">
        <v>7</v>
      </c>
      <c r="T129" s="108"/>
      <c r="U129" s="111">
        <f>(((Table5[[#This Row],[Watts Active]]*Power_On_Hours_Year/1000)*Active_Duty_Cycle)+((Table5[[#This Row],[Watts Idle]]*Power_On_Hours_Year/1000)*(100%-Active_Duty_Cycle)))*CostPerKWH</f>
        <v>8.1083280000000002</v>
      </c>
      <c r="V129" s="142">
        <f>Table5[Energy$year]/Table5[[#This Row],[SizTB]]</f>
        <v>2.0270820000000001</v>
      </c>
      <c r="W129" s="141">
        <v>164.99</v>
      </c>
      <c r="X129" s="6">
        <f>IF(Table5[[#This Row],[Cost]],Table5[[#This Row],[Cost]]/Table5[[#This Row],[SizTB]]*Exchange_Rate,"")</f>
        <v>41.247500000000002</v>
      </c>
      <c r="Y129" s="146">
        <f>Table5[[#This Row],[Cost]]+((CompareWarrYrs-Table5[[#This Row],[Warranty]])*(Incremental_Warr_Yr*Table5[[#This Row],[Cost]]))*Exchange_Rate</f>
        <v>164.99</v>
      </c>
      <c r="Z129" s="6">
        <f>IF(Table5[[#This Row],[$+Warr]],Table5[[#This Row],[$+Warr]]/Table5[[#This Row],[SizTB]],"")</f>
        <v>41.247500000000002</v>
      </c>
      <c r="AA129" s="6">
        <f>Table5[[#This Row],[$PerTB]]/CompareWarrYrs</f>
        <v>8.2495000000000012</v>
      </c>
      <c r="AB129" s="6">
        <f>IF(OR(Table5[[#This Row],[$ TB/year]]="",Table5[[#This Row],[Energy$yearPerTB]]=""),"",Table5[[#This Row],[$ TB/year]]+Table5[[#This Row],[Energy$yearPerTB]])</f>
        <v>10.276582000000001</v>
      </c>
      <c r="AC129" s="156">
        <v>29</v>
      </c>
      <c r="AD129" s="157">
        <v>36</v>
      </c>
      <c r="AE129" s="103"/>
    </row>
    <row r="130" spans="1:31" x14ac:dyDescent="0.25">
      <c r="A130" s="1">
        <v>43316</v>
      </c>
      <c r="B130" t="s">
        <v>6</v>
      </c>
      <c r="C130" s="96" t="s">
        <v>57</v>
      </c>
      <c r="D130" s="27" t="s">
        <v>49</v>
      </c>
      <c r="E130" s="81">
        <v>3.5</v>
      </c>
      <c r="F130" s="69">
        <v>6</v>
      </c>
      <c r="G130" s="42">
        <v>7200</v>
      </c>
      <c r="H130" s="5"/>
      <c r="I130" s="5"/>
      <c r="J130" s="61">
        <f>(Table5[[#This Row],[RPM]]/5400-1)</f>
        <v>0.33333333333333326</v>
      </c>
      <c r="K130" s="45">
        <v>226</v>
      </c>
      <c r="L130">
        <v>5</v>
      </c>
      <c r="M130" s="36">
        <v>600000</v>
      </c>
      <c r="N130">
        <v>550</v>
      </c>
      <c r="O130" s="36">
        <v>2000000</v>
      </c>
      <c r="P130" s="35">
        <v>1000000000000000</v>
      </c>
      <c r="Q130" s="53"/>
      <c r="R130" s="5">
        <v>9.3000000000000007</v>
      </c>
      <c r="S130" s="5">
        <v>7.1</v>
      </c>
      <c r="T130" s="108"/>
      <c r="U130" s="111">
        <f>(((Table5[[#This Row],[Watts Active]]*Power_On_Hours_Year/1000)*Active_Duty_Cycle)+((Table5[[#This Row],[Watts Idle]]*Power_On_Hours_Year/1000)*(100%-Active_Duty_Cycle)))*CostPerKWH</f>
        <v>8.2617288000000002</v>
      </c>
      <c r="V130" s="142">
        <f>Table5[Energy$year]/Table5[[#This Row],[SizTB]]</f>
        <v>1.3769548</v>
      </c>
      <c r="W130" s="141">
        <v>224.99</v>
      </c>
      <c r="X130" s="6">
        <f>IF(Table5[[#This Row],[Cost]],Table5[[#This Row],[Cost]]/Table5[[#This Row],[SizTB]]*Exchange_Rate,"")</f>
        <v>37.498333333333335</v>
      </c>
      <c r="Y130" s="146">
        <f>Table5[[#This Row],[Cost]]+((CompareWarrYrs-Table5[[#This Row],[Warranty]])*(Incremental_Warr_Yr*Table5[[#This Row],[Cost]]))*Exchange_Rate</f>
        <v>224.99</v>
      </c>
      <c r="Z130" s="6">
        <f>IF(Table5[[#This Row],[$+Warr]],Table5[[#This Row],[$+Warr]]/Table5[[#This Row],[SizTB]],"")</f>
        <v>37.498333333333335</v>
      </c>
      <c r="AA130" s="6">
        <f>Table5[[#This Row],[$PerTB]]/CompareWarrYrs</f>
        <v>7.4996666666666671</v>
      </c>
      <c r="AB130" s="6">
        <f>IF(OR(Table5[[#This Row],[$ TB/year]]="",Table5[[#This Row],[Energy$yearPerTB]]=""),"",Table5[[#This Row],[$ TB/year]]+Table5[[#This Row],[Energy$yearPerTB]])</f>
        <v>8.8766214666666663</v>
      </c>
      <c r="AC130" s="156">
        <v>29</v>
      </c>
      <c r="AD130" s="157">
        <v>36</v>
      </c>
      <c r="AE130" s="103" t="s">
        <v>116</v>
      </c>
    </row>
    <row r="131" spans="1:31" x14ac:dyDescent="0.25">
      <c r="A131" s="1">
        <v>43298</v>
      </c>
      <c r="B131" t="s">
        <v>6</v>
      </c>
      <c r="C131" s="96" t="s">
        <v>57</v>
      </c>
      <c r="D131" s="27" t="s">
        <v>49</v>
      </c>
      <c r="E131" s="81">
        <v>3.5</v>
      </c>
      <c r="F131" s="69">
        <v>8</v>
      </c>
      <c r="G131" s="42">
        <v>7200</v>
      </c>
      <c r="H131" s="5"/>
      <c r="I131" s="5"/>
      <c r="J131" s="61">
        <f>(Table5[[#This Row],[RPM]]/5400-1)</f>
        <v>0.33333333333333326</v>
      </c>
      <c r="K131" s="45">
        <v>205</v>
      </c>
      <c r="L131">
        <v>5</v>
      </c>
      <c r="M131" s="36">
        <v>600000</v>
      </c>
      <c r="N131">
        <v>550</v>
      </c>
      <c r="O131" s="36">
        <v>2500000</v>
      </c>
      <c r="P131" s="35">
        <v>1000000000000000</v>
      </c>
      <c r="Q131" s="53"/>
      <c r="R131" s="5">
        <v>7.2</v>
      </c>
      <c r="S131" s="5">
        <v>5.0999999999999996</v>
      </c>
      <c r="T131" s="108"/>
      <c r="U131" s="111">
        <f>(((Table5[[#This Row],[Watts Active]]*Power_On_Hours_Year/1000)*Active_Duty_Cycle)+((Table5[[#This Row],[Watts Idle]]*Power_On_Hours_Year/1000)*(100%-Active_Duty_Cycle)))*CostPerKWH</f>
        <v>6.0483743999999993</v>
      </c>
      <c r="V131" s="142">
        <f>Table5[Energy$year]/Table5[[#This Row],[SizTB]]</f>
        <v>0.75604679999999991</v>
      </c>
      <c r="W131" s="141">
        <v>324.89</v>
      </c>
      <c r="X131" s="6">
        <f>IF(Table5[[#This Row],[Cost]],Table5[[#This Row],[Cost]]/Table5[[#This Row],[SizTB]]*Exchange_Rate,"")</f>
        <v>40.611249999999998</v>
      </c>
      <c r="Y131" s="146">
        <f>Table5[[#This Row],[Cost]]+((CompareWarrYrs-Table5[[#This Row],[Warranty]])*(Incremental_Warr_Yr*Table5[[#This Row],[Cost]]))*Exchange_Rate</f>
        <v>324.89</v>
      </c>
      <c r="Z131" s="6">
        <f>IF(Table5[[#This Row],[$+Warr]],Table5[[#This Row],[$+Warr]]/Table5[[#This Row],[SizTB]],"")</f>
        <v>40.611249999999998</v>
      </c>
      <c r="AA131" s="6">
        <f>Table5[[#This Row],[$PerTB]]/CompareWarrYrs</f>
        <v>8.1222499999999993</v>
      </c>
      <c r="AB131" s="6">
        <f>IF(OR(Table5[[#This Row],[$ TB/year]]="",Table5[[#This Row],[Energy$yearPerTB]]=""),"",Table5[[#This Row],[$ TB/year]]+Table5[[#This Row],[Energy$yearPerTB]])</f>
        <v>8.8782967999999993</v>
      </c>
      <c r="AC131" s="156">
        <v>20</v>
      </c>
      <c r="AD131" s="157">
        <v>36</v>
      </c>
      <c r="AE131" s="103" t="s">
        <v>37</v>
      </c>
    </row>
    <row r="132" spans="1:31" x14ac:dyDescent="0.25">
      <c r="A132" s="1">
        <v>43298</v>
      </c>
      <c r="B132" t="s">
        <v>6</v>
      </c>
      <c r="C132" s="96" t="s">
        <v>57</v>
      </c>
      <c r="D132" s="27" t="s">
        <v>49</v>
      </c>
      <c r="E132" s="81">
        <v>3.5</v>
      </c>
      <c r="F132" s="69">
        <v>10</v>
      </c>
      <c r="G132" s="42">
        <v>7200</v>
      </c>
      <c r="H132" s="5"/>
      <c r="I132" s="5"/>
      <c r="J132" s="61">
        <f>(Table5[[#This Row],[RPM]]/5400-1)</f>
        <v>0.33333333333333326</v>
      </c>
      <c r="K132" s="45">
        <v>249</v>
      </c>
      <c r="L132">
        <v>5</v>
      </c>
      <c r="M132" s="36">
        <v>600000</v>
      </c>
      <c r="N132">
        <v>550</v>
      </c>
      <c r="O132" s="36">
        <v>2500000</v>
      </c>
      <c r="P132" s="35">
        <v>1000000000000000</v>
      </c>
      <c r="Q132" s="53"/>
      <c r="R132" s="5">
        <v>7.1</v>
      </c>
      <c r="S132" s="5">
        <v>5</v>
      </c>
      <c r="T132" s="108"/>
      <c r="U132" s="111">
        <f>(((Table5[[#This Row],[Watts Active]]*Power_On_Hours_Year/1000)*Active_Duty_Cycle)+((Table5[[#This Row],[Watts Idle]]*Power_On_Hours_Year/1000)*(100%-Active_Duty_Cycle)))*CostPerKWH</f>
        <v>5.9388024000000001</v>
      </c>
      <c r="V132" s="142">
        <f>Table5[Energy$year]/Table5[[#This Row],[SizTB]]</f>
        <v>0.59388024000000006</v>
      </c>
      <c r="W132" s="141">
        <v>384.99</v>
      </c>
      <c r="X132" s="6">
        <f>IF(Table5[[#This Row],[Cost]],Table5[[#This Row],[Cost]]/Table5[[#This Row],[SizTB]]*Exchange_Rate,"")</f>
        <v>38.499000000000002</v>
      </c>
      <c r="Y132" s="146">
        <f>Table5[[#This Row],[Cost]]+((CompareWarrYrs-Table5[[#This Row],[Warranty]])*(Incremental_Warr_Yr*Table5[[#This Row],[Cost]]))*Exchange_Rate</f>
        <v>384.99</v>
      </c>
      <c r="Z132" s="6">
        <f>IF(Table5[[#This Row],[$+Warr]],Table5[[#This Row],[$+Warr]]/Table5[[#This Row],[SizTB]],"")</f>
        <v>38.499000000000002</v>
      </c>
      <c r="AA132" s="6">
        <f>Table5[[#This Row],[$PerTB]]/CompareWarrYrs</f>
        <v>7.6998000000000006</v>
      </c>
      <c r="AB132" s="6">
        <f>IF(OR(Table5[[#This Row],[$ TB/year]]="",Table5[[#This Row],[Energy$yearPerTB]]=""),"",Table5[[#This Row],[$ TB/year]]+Table5[[#This Row],[Energy$yearPerTB]])</f>
        <v>8.2936802400000005</v>
      </c>
      <c r="AC132" s="156">
        <v>20</v>
      </c>
      <c r="AD132" s="157">
        <v>36</v>
      </c>
      <c r="AE132" s="103" t="s">
        <v>37</v>
      </c>
    </row>
    <row r="133" spans="1:31" x14ac:dyDescent="0.25">
      <c r="A133" s="1">
        <v>43298</v>
      </c>
      <c r="B133" t="s">
        <v>6</v>
      </c>
      <c r="C133" s="96" t="s">
        <v>57</v>
      </c>
      <c r="D133" s="27" t="s">
        <v>49</v>
      </c>
      <c r="E133" s="81">
        <v>3.5</v>
      </c>
      <c r="F133" s="69">
        <v>12</v>
      </c>
      <c r="G133" s="42">
        <v>7200</v>
      </c>
      <c r="H133" s="5">
        <v>4.16</v>
      </c>
      <c r="I133" s="5"/>
      <c r="J133" s="61">
        <f>(Table5[[#This Row],[RPM]]/5400-1)</f>
        <v>0.33333333333333326</v>
      </c>
      <c r="K133" s="45">
        <v>255</v>
      </c>
      <c r="L133">
        <v>5</v>
      </c>
      <c r="M133" s="36">
        <v>600000</v>
      </c>
      <c r="N133">
        <v>550</v>
      </c>
      <c r="O133" s="36">
        <v>2500000</v>
      </c>
      <c r="P133" s="35">
        <v>1000000000000000</v>
      </c>
      <c r="Q133" s="53"/>
      <c r="R133" s="5">
        <v>7</v>
      </c>
      <c r="S133" s="5">
        <v>5</v>
      </c>
      <c r="T133" s="108"/>
      <c r="U133" s="111">
        <f>(((Table5[[#This Row],[Watts Active]]*Power_On_Hours_Year/1000)*Active_Duty_Cycle)+((Table5[[#This Row],[Watts Idle]]*Power_On_Hours_Year/1000)*(100%-Active_Duty_Cycle)))*CostPerKWH</f>
        <v>5.9168880000000001</v>
      </c>
      <c r="V133" s="142">
        <f>Table5[Energy$year]/Table5[[#This Row],[SizTB]]</f>
        <v>0.49307400000000001</v>
      </c>
      <c r="W133" s="141">
        <v>499</v>
      </c>
      <c r="X133" s="6">
        <f>IF(Table5[[#This Row],[Cost]],Table5[[#This Row],[Cost]]/Table5[[#This Row],[SizTB]]*Exchange_Rate,"")</f>
        <v>41.583333333333336</v>
      </c>
      <c r="Y133" s="146">
        <f>Table5[[#This Row],[Cost]]+((CompareWarrYrs-Table5[[#This Row],[Warranty]])*(Incremental_Warr_Yr*Table5[[#This Row],[Cost]]))*Exchange_Rate</f>
        <v>499</v>
      </c>
      <c r="Z133" s="6">
        <f>IF(Table5[[#This Row],[$+Warr]],Table5[[#This Row],[$+Warr]]/Table5[[#This Row],[SizTB]],"")</f>
        <v>41.583333333333336</v>
      </c>
      <c r="AA133" s="6">
        <f>Table5[[#This Row],[$PerTB]]/CompareWarrYrs</f>
        <v>8.3166666666666664</v>
      </c>
      <c r="AB133" s="6">
        <f>IF(OR(Table5[[#This Row],[$ TB/year]]="",Table5[[#This Row],[Energy$yearPerTB]]=""),"",Table5[[#This Row],[$ TB/year]]+Table5[[#This Row],[Energy$yearPerTB]])</f>
        <v>8.8097406666666664</v>
      </c>
      <c r="AC133" s="156">
        <v>20</v>
      </c>
      <c r="AD133" s="157">
        <v>36</v>
      </c>
      <c r="AE133" s="103" t="s">
        <v>37</v>
      </c>
    </row>
    <row r="134" spans="1:31" x14ac:dyDescent="0.25">
      <c r="A134" s="1">
        <v>43298</v>
      </c>
      <c r="B134" t="s">
        <v>6</v>
      </c>
      <c r="C134" s="96" t="s">
        <v>55</v>
      </c>
      <c r="D134" s="102" t="s">
        <v>49</v>
      </c>
      <c r="E134" s="81">
        <v>2.5</v>
      </c>
      <c r="F134" s="69">
        <v>0.75</v>
      </c>
      <c r="G134" s="42">
        <v>5400</v>
      </c>
      <c r="H134" s="5"/>
      <c r="I134" s="5"/>
      <c r="J134" s="61">
        <f>(Table5[[#This Row],[RPM]]/5400-1)</f>
        <v>0</v>
      </c>
      <c r="K134" s="45">
        <v>144</v>
      </c>
      <c r="L134">
        <v>3</v>
      </c>
      <c r="M134" s="36">
        <v>600000</v>
      </c>
      <c r="N134">
        <v>180</v>
      </c>
      <c r="O134" s="36">
        <v>1000000</v>
      </c>
      <c r="P134" s="35">
        <f t="shared" ref="P134:P135" si="17">10^14</f>
        <v>100000000000000</v>
      </c>
      <c r="Q134" s="53">
        <v>5</v>
      </c>
      <c r="R134" s="5">
        <v>1.4</v>
      </c>
      <c r="S134" s="5">
        <v>0.6</v>
      </c>
      <c r="T134" s="108">
        <v>0.2</v>
      </c>
      <c r="U134" s="111">
        <f>(((Table5[[#This Row],[Watts Active]]*Power_On_Hours_Year/1000)*Active_Duty_Cycle)+((Table5[[#This Row],[Watts Idle]]*Power_On_Hours_Year/1000)*(100%-Active_Duty_Cycle)))*CostPerKWH</f>
        <v>0.83274720000000002</v>
      </c>
      <c r="V134" s="142">
        <f>Table5[Energy$year]/Table5[[#This Row],[SizTB]]</f>
        <v>1.1103296</v>
      </c>
      <c r="W134" s="141">
        <v>61.97</v>
      </c>
      <c r="X134" s="6">
        <f>IF(Table5[[#This Row],[Cost]],Table5[[#This Row],[Cost]]/Table5[[#This Row],[SizTB]]*Exchange_Rate,"")</f>
        <v>82.626666666666665</v>
      </c>
      <c r="Y134" s="146">
        <f>Table5[[#This Row],[Cost]]+((CompareWarrYrs-Table5[[#This Row],[Warranty]])*(Incremental_Warr_Yr*Table5[[#This Row],[Cost]]))*Exchange_Rate</f>
        <v>75.603399999999993</v>
      </c>
      <c r="Z134" s="6">
        <f>IF(Table5[[#This Row],[$+Warr]],Table5[[#This Row],[$+Warr]]/Table5[[#This Row],[SizTB]],"")</f>
        <v>100.80453333333332</v>
      </c>
      <c r="AA134" s="6">
        <f>Table5[[#This Row],[$PerTB]]/CompareWarrYrs</f>
        <v>20.160906666666666</v>
      </c>
      <c r="AB134" s="6">
        <f>IF(OR(Table5[[#This Row],[$ TB/year]]="",Table5[[#This Row],[Energy$yearPerTB]]=""),"",Table5[[#This Row],[$ TB/year]]+Table5[[#This Row],[Energy$yearPerTB]])</f>
        <v>21.271236266666666</v>
      </c>
      <c r="AC134" s="156"/>
      <c r="AD134" s="157"/>
      <c r="AE134" s="40"/>
    </row>
    <row r="135" spans="1:31" x14ac:dyDescent="0.25">
      <c r="A135" s="1">
        <v>43298</v>
      </c>
      <c r="B135" t="s">
        <v>6</v>
      </c>
      <c r="C135" s="96" t="s">
        <v>55</v>
      </c>
      <c r="D135" s="102" t="s">
        <v>49</v>
      </c>
      <c r="E135" s="81">
        <v>2.5</v>
      </c>
      <c r="F135" s="69">
        <v>1</v>
      </c>
      <c r="G135" s="42">
        <v>5400</v>
      </c>
      <c r="H135" s="5"/>
      <c r="I135" s="5"/>
      <c r="J135" s="61">
        <f>(Table5[[#This Row],[RPM]]/5400-1)</f>
        <v>0</v>
      </c>
      <c r="K135" s="45">
        <v>144</v>
      </c>
      <c r="L135">
        <v>3</v>
      </c>
      <c r="M135" s="36">
        <v>600000</v>
      </c>
      <c r="N135">
        <v>180</v>
      </c>
      <c r="O135" s="36">
        <v>1000000</v>
      </c>
      <c r="P135" s="35">
        <f t="shared" si="17"/>
        <v>100000000000000</v>
      </c>
      <c r="Q135" s="53">
        <v>5</v>
      </c>
      <c r="R135" s="5">
        <v>1.4</v>
      </c>
      <c r="S135" s="5">
        <v>0.6</v>
      </c>
      <c r="T135" s="108">
        <v>0.2</v>
      </c>
      <c r="U135" s="111">
        <f>(((Table5[[#This Row],[Watts Active]]*Power_On_Hours_Year/1000)*Active_Duty_Cycle)+((Table5[[#This Row],[Watts Idle]]*Power_On_Hours_Year/1000)*(100%-Active_Duty_Cycle)))*CostPerKWH</f>
        <v>0.83274720000000002</v>
      </c>
      <c r="V135" s="142">
        <f>Table5[Energy$year]/Table5[[#This Row],[SizTB]]</f>
        <v>0.83274720000000002</v>
      </c>
      <c r="W135" s="141">
        <v>72.23</v>
      </c>
      <c r="X135" s="6">
        <f>IF(Table5[[#This Row],[Cost]],Table5[[#This Row],[Cost]]/Table5[[#This Row],[SizTB]]*Exchange_Rate,"")</f>
        <v>72.23</v>
      </c>
      <c r="Y135" s="146">
        <f>Table5[[#This Row],[Cost]]+((CompareWarrYrs-Table5[[#This Row],[Warranty]])*(Incremental_Warr_Yr*Table5[[#This Row],[Cost]]))*Exchange_Rate</f>
        <v>88.12060000000001</v>
      </c>
      <c r="Z135" s="6">
        <f>IF(Table5[[#This Row],[$+Warr]],Table5[[#This Row],[$+Warr]]/Table5[[#This Row],[SizTB]],"")</f>
        <v>88.12060000000001</v>
      </c>
      <c r="AA135" s="6">
        <f>Table5[[#This Row],[$PerTB]]/CompareWarrYrs</f>
        <v>17.624120000000001</v>
      </c>
      <c r="AB135" s="6">
        <f>IF(OR(Table5[[#This Row],[$ TB/year]]="",Table5[[#This Row],[Energy$yearPerTB]]=""),"",Table5[[#This Row],[$ TB/year]]+Table5[[#This Row],[Energy$yearPerTB]])</f>
        <v>18.456867200000001</v>
      </c>
      <c r="AC135" s="156"/>
      <c r="AD135" s="157"/>
      <c r="AE135" s="40"/>
    </row>
    <row r="136" spans="1:31" x14ac:dyDescent="0.25">
      <c r="A136" s="1">
        <v>43284</v>
      </c>
      <c r="B136" t="s">
        <v>6</v>
      </c>
      <c r="C136" s="96" t="s">
        <v>55</v>
      </c>
      <c r="D136" s="27" t="s">
        <v>49</v>
      </c>
      <c r="E136" s="81">
        <v>3.5</v>
      </c>
      <c r="F136" s="69">
        <v>1</v>
      </c>
      <c r="G136" s="42">
        <v>5400</v>
      </c>
      <c r="H136" s="5"/>
      <c r="I136" s="5"/>
      <c r="J136" s="61">
        <f>(Table5[[#This Row],[RPM]]/5400-1)</f>
        <v>0</v>
      </c>
      <c r="K136" s="45">
        <v>150</v>
      </c>
      <c r="L136">
        <v>3</v>
      </c>
      <c r="M136" s="36">
        <v>600000</v>
      </c>
      <c r="N136">
        <v>180</v>
      </c>
      <c r="O136" s="36">
        <v>1000000</v>
      </c>
      <c r="P136" s="35">
        <f>10^14</f>
        <v>100000000000000</v>
      </c>
      <c r="Q136" s="53">
        <f>12*1.2</f>
        <v>14.399999999999999</v>
      </c>
      <c r="R136" s="5">
        <v>3.3</v>
      </c>
      <c r="S136" s="5">
        <v>2.2999999999999998</v>
      </c>
      <c r="T136" s="108">
        <v>0.4</v>
      </c>
      <c r="U136" s="111">
        <f>(((Table5[[#This Row],[Watts Active]]*Power_On_Hours_Year/1000)*Active_Duty_Cycle)+((Table5[[#This Row],[Watts Idle]]*Power_On_Hours_Year/1000)*(100%-Active_Duty_Cycle)))*CostPerKWH</f>
        <v>2.7393000000000001</v>
      </c>
      <c r="V136" s="142">
        <f>Table5[Energy$year]/Table5[[#This Row],[SizTB]]</f>
        <v>2.7393000000000001</v>
      </c>
      <c r="W136" s="141">
        <v>62</v>
      </c>
      <c r="X136" s="6">
        <f>IF(Table5[[#This Row],[Cost]],Table5[[#This Row],[Cost]]/Table5[[#This Row],[SizTB]]*Exchange_Rate,"")</f>
        <v>62</v>
      </c>
      <c r="Y136" s="146">
        <f>Table5[[#This Row],[Cost]]+((CompareWarrYrs-Table5[[#This Row],[Warranty]])*(Incremental_Warr_Yr*Table5[[#This Row],[Cost]]))*Exchange_Rate</f>
        <v>75.64</v>
      </c>
      <c r="Z136" s="6">
        <f>IF(Table5[[#This Row],[$+Warr]],Table5[[#This Row],[$+Warr]]/Table5[[#This Row],[SizTB]],"")</f>
        <v>75.64</v>
      </c>
      <c r="AA136" s="6">
        <f>Table5[[#This Row],[$PerTB]]/CompareWarrYrs</f>
        <v>15.128</v>
      </c>
      <c r="AB136" s="6">
        <f>IF(OR(Table5[[#This Row],[$ TB/year]]="",Table5[[#This Row],[Energy$yearPerTB]]=""),"",Table5[[#This Row],[$ TB/year]]+Table5[[#This Row],[Energy$yearPerTB]])</f>
        <v>17.8673</v>
      </c>
      <c r="AC136" s="156">
        <v>21</v>
      </c>
      <c r="AD136" s="157">
        <v>22</v>
      </c>
      <c r="AE136" s="40"/>
    </row>
    <row r="137" spans="1:31" x14ac:dyDescent="0.25">
      <c r="A137" s="1">
        <v>43298</v>
      </c>
      <c r="B137" t="s">
        <v>6</v>
      </c>
      <c r="C137" s="96" t="s">
        <v>55</v>
      </c>
      <c r="D137" s="27" t="s">
        <v>49</v>
      </c>
      <c r="E137" s="81">
        <v>3.5</v>
      </c>
      <c r="F137" s="69">
        <v>2</v>
      </c>
      <c r="G137" s="42">
        <v>5400</v>
      </c>
      <c r="H137" s="5"/>
      <c r="I137" s="5"/>
      <c r="J137" s="61">
        <f>(Table5[[#This Row],[RPM]]/5400-1)</f>
        <v>0</v>
      </c>
      <c r="K137" s="45">
        <v>147</v>
      </c>
      <c r="L137">
        <v>3</v>
      </c>
      <c r="M137" s="36">
        <v>600000</v>
      </c>
      <c r="N137">
        <v>180</v>
      </c>
      <c r="O137" s="36">
        <v>1000000</v>
      </c>
      <c r="P137" s="35">
        <f t="shared" ref="P137:P143" si="18">10^14</f>
        <v>100000000000000</v>
      </c>
      <c r="Q137" s="53">
        <f>12*1.73</f>
        <v>20.759999999999998</v>
      </c>
      <c r="R137" s="5">
        <v>4.0999999999999996</v>
      </c>
      <c r="S137" s="5">
        <v>2.7</v>
      </c>
      <c r="T137" s="108">
        <v>0.4</v>
      </c>
      <c r="U137" s="111">
        <f>(((Table5[[#This Row],[Watts Active]]*Power_On_Hours_Year/1000)*Active_Duty_Cycle)+((Table5[[#This Row],[Watts Idle]]*Power_On_Hours_Year/1000)*(100%-Active_Duty_Cycle)))*CostPerKWH</f>
        <v>3.2652456000000005</v>
      </c>
      <c r="V137" s="142">
        <f>Table5[Energy$year]/Table5[[#This Row],[SizTB]]</f>
        <v>1.6326228000000003</v>
      </c>
      <c r="W137" s="141">
        <v>83.99</v>
      </c>
      <c r="X137" s="6">
        <f>IF(Table5[[#This Row],[Cost]],Table5[[#This Row],[Cost]]/Table5[[#This Row],[SizTB]]*Exchange_Rate,"")</f>
        <v>41.994999999999997</v>
      </c>
      <c r="Y137" s="146">
        <f>Table5[[#This Row],[Cost]]+((CompareWarrYrs-Table5[[#This Row],[Warranty]])*(Incremental_Warr_Yr*Table5[[#This Row],[Cost]]))*Exchange_Rate</f>
        <v>102.4678</v>
      </c>
      <c r="Z137" s="6">
        <f>IF(Table5[[#This Row],[$+Warr]],Table5[[#This Row],[$+Warr]]/Table5[[#This Row],[SizTB]],"")</f>
        <v>51.233899999999998</v>
      </c>
      <c r="AA137" s="6">
        <f>Table5[[#This Row],[$PerTB]]/CompareWarrYrs</f>
        <v>10.246779999999999</v>
      </c>
      <c r="AB137" s="6">
        <f>IF(OR(Table5[[#This Row],[$ TB/year]]="",Table5[[#This Row],[Energy$yearPerTB]]=""),"",Table5[[#This Row],[$ TB/year]]+Table5[[#This Row],[Energy$yearPerTB]])</f>
        <v>11.879402799999999</v>
      </c>
      <c r="AC137" s="156">
        <v>23</v>
      </c>
      <c r="AD137" s="157">
        <v>24</v>
      </c>
      <c r="AE137" s="40"/>
    </row>
    <row r="138" spans="1:31" x14ac:dyDescent="0.25">
      <c r="A138" s="1">
        <v>43314</v>
      </c>
      <c r="B138" t="s">
        <v>6</v>
      </c>
      <c r="C138" s="96" t="s">
        <v>55</v>
      </c>
      <c r="D138" s="27" t="s">
        <v>49</v>
      </c>
      <c r="E138" s="81">
        <v>3.5</v>
      </c>
      <c r="F138" s="69">
        <v>3</v>
      </c>
      <c r="G138" s="42">
        <v>5400</v>
      </c>
      <c r="H138" s="5"/>
      <c r="I138" s="5">
        <v>8.9</v>
      </c>
      <c r="J138" s="61">
        <f>(Table5[[#This Row],[RPM]]/5400-1)</f>
        <v>0</v>
      </c>
      <c r="K138" s="45">
        <v>147</v>
      </c>
      <c r="L138">
        <v>3</v>
      </c>
      <c r="M138" s="36">
        <v>600000</v>
      </c>
      <c r="N138">
        <v>180</v>
      </c>
      <c r="O138" s="36">
        <v>1000000</v>
      </c>
      <c r="P138" s="35">
        <f t="shared" si="18"/>
        <v>100000000000000</v>
      </c>
      <c r="Q138" s="53">
        <f>12*1.73</f>
        <v>20.759999999999998</v>
      </c>
      <c r="R138" s="5">
        <v>4.0999999999999996</v>
      </c>
      <c r="S138" s="5">
        <v>2.7</v>
      </c>
      <c r="T138" s="108">
        <v>0.4</v>
      </c>
      <c r="U138" s="111">
        <f>(((Table5[[#This Row],[Watts Active]]*Power_On_Hours_Year/1000)*Active_Duty_Cycle)+((Table5[[#This Row],[Watts Idle]]*Power_On_Hours_Year/1000)*(100%-Active_Duty_Cycle)))*CostPerKWH</f>
        <v>3.2652456000000005</v>
      </c>
      <c r="V138" s="142">
        <f>Table5[Energy$year]/Table5[[#This Row],[SizTB]]</f>
        <v>1.0884152000000002</v>
      </c>
      <c r="W138" s="141">
        <v>102.99</v>
      </c>
      <c r="X138" s="6">
        <f>IF(Table5[[#This Row],[Cost]],Table5[[#This Row],[Cost]]/Table5[[#This Row],[SizTB]]*Exchange_Rate,"")</f>
        <v>34.33</v>
      </c>
      <c r="Y138" s="146">
        <f>Table5[[#This Row],[Cost]]+((CompareWarrYrs-Table5[[#This Row],[Warranty]])*(Incremental_Warr_Yr*Table5[[#This Row],[Cost]]))*Exchange_Rate</f>
        <v>125.64779999999999</v>
      </c>
      <c r="Z138" s="6">
        <f>IF(Table5[[#This Row],[$+Warr]],Table5[[#This Row],[$+Warr]]/Table5[[#This Row],[SizTB]],"")</f>
        <v>41.882599999999996</v>
      </c>
      <c r="AA138" s="6">
        <f>Table5[[#This Row],[$PerTB]]/CompareWarrYrs</f>
        <v>8.3765199999999993</v>
      </c>
      <c r="AB138" s="6">
        <f>IF(OR(Table5[[#This Row],[$ TB/year]]="",Table5[[#This Row],[Energy$yearPerTB]]=""),"",Table5[[#This Row],[$ TB/year]]+Table5[[#This Row],[Energy$yearPerTB]])</f>
        <v>9.4649351999999993</v>
      </c>
      <c r="AC138" s="156">
        <v>23</v>
      </c>
      <c r="AD138" s="157">
        <v>24</v>
      </c>
      <c r="AE138" s="40"/>
    </row>
    <row r="139" spans="1:31" x14ac:dyDescent="0.25">
      <c r="A139" s="1">
        <v>43334</v>
      </c>
      <c r="B139" t="s">
        <v>6</v>
      </c>
      <c r="C139" s="96" t="s">
        <v>55</v>
      </c>
      <c r="D139" s="27" t="s">
        <v>49</v>
      </c>
      <c r="E139" s="81">
        <v>3.5</v>
      </c>
      <c r="F139" s="69">
        <v>4</v>
      </c>
      <c r="G139" s="42">
        <v>5400</v>
      </c>
      <c r="H139" s="5"/>
      <c r="I139" s="5"/>
      <c r="J139" s="61">
        <f>(Table5[[#This Row],[RPM]]/5400-1)</f>
        <v>0</v>
      </c>
      <c r="K139" s="45">
        <v>150</v>
      </c>
      <c r="L139">
        <v>3</v>
      </c>
      <c r="M139" s="36">
        <v>600000</v>
      </c>
      <c r="N139">
        <v>180</v>
      </c>
      <c r="O139" s="36">
        <v>1000000</v>
      </c>
      <c r="P139" s="35">
        <f t="shared" si="18"/>
        <v>100000000000000</v>
      </c>
      <c r="Q139" s="53">
        <f>12*1.75</f>
        <v>21</v>
      </c>
      <c r="R139" s="5">
        <v>4.5</v>
      </c>
      <c r="S139" s="5">
        <v>3.3</v>
      </c>
      <c r="T139" s="108">
        <v>0.4</v>
      </c>
      <c r="U139" s="111">
        <f>(((Table5[[#This Row],[Watts Active]]*Power_On_Hours_Year/1000)*Active_Duty_Cycle)+((Table5[[#This Row],[Watts Idle]]*Power_On_Hours_Year/1000)*(100%-Active_Duty_Cycle)))*CostPerKWH</f>
        <v>3.8788488000000001</v>
      </c>
      <c r="V139" s="142">
        <f>Table5[Energy$year]/Table5[[#This Row],[SizTB]]</f>
        <v>0.96971220000000002</v>
      </c>
      <c r="W139" s="141">
        <v>117.99</v>
      </c>
      <c r="X139" s="6">
        <f>IF(Table5[[#This Row],[Cost]],Table5[[#This Row],[Cost]]/Table5[[#This Row],[SizTB]]*Exchange_Rate,"")</f>
        <v>29.497499999999999</v>
      </c>
      <c r="Y139" s="146">
        <f>Table5[[#This Row],[Cost]]+((CompareWarrYrs-Table5[[#This Row],[Warranty]])*(Incremental_Warr_Yr*Table5[[#This Row],[Cost]]))*Exchange_Rate</f>
        <v>143.9478</v>
      </c>
      <c r="Z139" s="6">
        <f>IF(Table5[[#This Row],[$+Warr]],Table5[[#This Row],[$+Warr]]/Table5[[#This Row],[SizTB]],"")</f>
        <v>35.98695</v>
      </c>
      <c r="AA139" s="6">
        <f>Table5[[#This Row],[$PerTB]]/CompareWarrYrs</f>
        <v>7.1973900000000004</v>
      </c>
      <c r="AB139" s="6">
        <f>IF(OR(Table5[[#This Row],[$ TB/year]]="",Table5[[#This Row],[Energy$yearPerTB]]=""),"",Table5[[#This Row],[$ TB/year]]+Table5[[#This Row],[Energy$yearPerTB]])</f>
        <v>8.1671022000000004</v>
      </c>
      <c r="AC139" s="156">
        <v>25</v>
      </c>
      <c r="AD139" s="157">
        <v>28</v>
      </c>
      <c r="AE139" s="40"/>
    </row>
    <row r="140" spans="1:31" x14ac:dyDescent="0.25">
      <c r="A140" s="1">
        <v>43130</v>
      </c>
      <c r="B140" t="s">
        <v>6</v>
      </c>
      <c r="C140" s="96" t="s">
        <v>55</v>
      </c>
      <c r="D140" s="27" t="s">
        <v>49</v>
      </c>
      <c r="E140" s="81">
        <v>3.5</v>
      </c>
      <c r="F140" s="69">
        <v>5</v>
      </c>
      <c r="G140" s="42">
        <v>5400</v>
      </c>
      <c r="H140" s="5"/>
      <c r="I140" s="5"/>
      <c r="J140" s="61">
        <f>(Table5[[#This Row],[RPM]]/5400-1)</f>
        <v>0</v>
      </c>
      <c r="K140" s="45"/>
      <c r="L140">
        <v>3</v>
      </c>
      <c r="M140" s="36">
        <v>600000</v>
      </c>
      <c r="N140">
        <v>180</v>
      </c>
      <c r="O140" s="36">
        <v>1000000</v>
      </c>
      <c r="P140" s="35">
        <f t="shared" si="18"/>
        <v>100000000000000</v>
      </c>
      <c r="Q140" s="53">
        <f>12*1.75</f>
        <v>21</v>
      </c>
      <c r="R140" s="5">
        <v>5.3</v>
      </c>
      <c r="S140" s="5">
        <v>3.4</v>
      </c>
      <c r="T140" s="108">
        <v>0.4</v>
      </c>
      <c r="U140" s="111">
        <f>(((Table5[[#This Row],[Watts Active]]*Power_On_Hours_Year/1000)*Active_Duty_Cycle)+((Table5[[#This Row],[Watts Idle]]*Power_On_Hours_Year/1000)*(100%-Active_Duty_Cycle)))*CostPerKWH</f>
        <v>4.1418216000000001</v>
      </c>
      <c r="V140" s="142">
        <f>Table5[Energy$year]/Table5[[#This Row],[SizTB]]</f>
        <v>0.82836432000000004</v>
      </c>
      <c r="W140" s="141">
        <v>248.99</v>
      </c>
      <c r="X140" s="6">
        <f>IF(Table5[[#This Row],[Cost]],Table5[[#This Row],[Cost]]/Table5[[#This Row],[SizTB]]*Exchange_Rate,"")</f>
        <v>49.798000000000002</v>
      </c>
      <c r="Y140" s="146">
        <f>Table5[[#This Row],[Cost]]+((CompareWarrYrs-Table5[[#This Row],[Warranty]])*(Incremental_Warr_Yr*Table5[[#This Row],[Cost]]))*Exchange_Rate</f>
        <v>303.76780000000002</v>
      </c>
      <c r="Z140" s="6">
        <f>IF(Table5[[#This Row],[$+Warr]],Table5[[#This Row],[$+Warr]]/Table5[[#This Row],[SizTB]],"")</f>
        <v>60.753560000000007</v>
      </c>
      <c r="AA140" s="6">
        <f>Table5[[#This Row],[$PerTB]]/CompareWarrYrs</f>
        <v>12.150712000000002</v>
      </c>
      <c r="AB140" s="6">
        <f>IF(OR(Table5[[#This Row],[$ TB/year]]="",Table5[[#This Row],[Energy$yearPerTB]]=""),"",Table5[[#This Row],[$ TB/year]]+Table5[[#This Row],[Energy$yearPerTB]])</f>
        <v>12.979076320000003</v>
      </c>
      <c r="AC140" s="156"/>
      <c r="AD140" s="157"/>
      <c r="AE140" s="40"/>
    </row>
    <row r="141" spans="1:31" x14ac:dyDescent="0.25">
      <c r="A141" s="1">
        <v>43315</v>
      </c>
      <c r="B141" t="s">
        <v>6</v>
      </c>
      <c r="C141" s="96" t="s">
        <v>55</v>
      </c>
      <c r="D141" s="27" t="s">
        <v>49</v>
      </c>
      <c r="E141" s="81">
        <v>3.5</v>
      </c>
      <c r="F141" s="69">
        <v>6</v>
      </c>
      <c r="G141" s="42">
        <v>5400</v>
      </c>
      <c r="H141" s="5"/>
      <c r="I141" s="5"/>
      <c r="J141" s="61">
        <f>(Table5[[#This Row],[RPM]]/5400-1)</f>
        <v>0</v>
      </c>
      <c r="K141" s="45">
        <v>175</v>
      </c>
      <c r="L141">
        <v>3</v>
      </c>
      <c r="M141" s="36">
        <v>600000</v>
      </c>
      <c r="N141">
        <v>180</v>
      </c>
      <c r="O141" s="36">
        <v>1000000</v>
      </c>
      <c r="P141" s="35">
        <f t="shared" si="18"/>
        <v>100000000000000</v>
      </c>
      <c r="Q141" s="53">
        <f>12*1.75</f>
        <v>21</v>
      </c>
      <c r="R141" s="5">
        <v>5.3</v>
      </c>
      <c r="S141" s="5">
        <v>3.4</v>
      </c>
      <c r="T141" s="108">
        <v>0.4</v>
      </c>
      <c r="U141" s="111">
        <f>(((Table5[[#This Row],[Watts Active]]*Power_On_Hours_Year/1000)*Active_Duty_Cycle)+((Table5[[#This Row],[Watts Idle]]*Power_On_Hours_Year/1000)*(100%-Active_Duty_Cycle)))*CostPerKWH</f>
        <v>4.1418216000000001</v>
      </c>
      <c r="V141" s="142">
        <f>Table5[Energy$year]/Table5[[#This Row],[SizTB]]</f>
        <v>0.69030360000000002</v>
      </c>
      <c r="W141" s="141">
        <f>345.99/2</f>
        <v>172.995</v>
      </c>
      <c r="X141" s="6">
        <f>IF(Table5[[#This Row],[Cost]],Table5[[#This Row],[Cost]]/Table5[[#This Row],[SizTB]]*Exchange_Rate,"")</f>
        <v>28.8325</v>
      </c>
      <c r="Y141" s="146">
        <f>Table5[[#This Row],[Cost]]+((CompareWarrYrs-Table5[[#This Row],[Warranty]])*(Incremental_Warr_Yr*Table5[[#This Row],[Cost]]))*Exchange_Rate</f>
        <v>211.0539</v>
      </c>
      <c r="Z141" s="6">
        <f>IF(Table5[[#This Row],[$+Warr]],Table5[[#This Row],[$+Warr]]/Table5[[#This Row],[SizTB]],"")</f>
        <v>35.175649999999997</v>
      </c>
      <c r="AA141" s="6">
        <f>Table5[[#This Row],[$PerTB]]/CompareWarrYrs</f>
        <v>7.0351299999999997</v>
      </c>
      <c r="AB141" s="6">
        <f>IF(OR(Table5[[#This Row],[$ TB/year]]="",Table5[[#This Row],[Energy$yearPerTB]]=""),"",Table5[[#This Row],[$ TB/year]]+Table5[[#This Row],[Energy$yearPerTB]])</f>
        <v>7.7254335999999997</v>
      </c>
      <c r="AC141" s="156">
        <v>25</v>
      </c>
      <c r="AD141" s="157">
        <v>28</v>
      </c>
      <c r="AE141" s="40"/>
    </row>
    <row r="142" spans="1:31" x14ac:dyDescent="0.25">
      <c r="A142" s="1">
        <v>43284</v>
      </c>
      <c r="B142" t="s">
        <v>6</v>
      </c>
      <c r="C142" s="96" t="s">
        <v>55</v>
      </c>
      <c r="D142" s="27" t="s">
        <v>49</v>
      </c>
      <c r="E142" s="81">
        <v>3.5</v>
      </c>
      <c r="F142" s="69">
        <v>8</v>
      </c>
      <c r="G142" s="42">
        <v>5400</v>
      </c>
      <c r="H142" s="5"/>
      <c r="I142" s="5"/>
      <c r="J142" s="61">
        <f>(Table5[[#This Row],[RPM]]/5400-1)</f>
        <v>0</v>
      </c>
      <c r="K142" s="45">
        <v>178</v>
      </c>
      <c r="L142">
        <v>3</v>
      </c>
      <c r="M142" s="36">
        <v>600000</v>
      </c>
      <c r="N142">
        <v>180</v>
      </c>
      <c r="O142" s="36">
        <v>1000000</v>
      </c>
      <c r="P142" s="35">
        <f t="shared" si="18"/>
        <v>100000000000000</v>
      </c>
      <c r="Q142" s="53">
        <f>12*1.79</f>
        <v>21.48</v>
      </c>
      <c r="R142" s="5">
        <v>6.4</v>
      </c>
      <c r="S142" s="5">
        <v>5.2</v>
      </c>
      <c r="T142" s="108">
        <v>0.7</v>
      </c>
      <c r="U142" s="111">
        <f>(((Table5[[#This Row],[Watts Active]]*Power_On_Hours_Year/1000)*Active_Duty_Cycle)+((Table5[[#This Row],[Watts Idle]]*Power_On_Hours_Year/1000)*(100%-Active_Duty_Cycle)))*CostPerKWH</f>
        <v>5.960716800000001</v>
      </c>
      <c r="V142" s="142">
        <f>Table5[Energy$year]/Table5[[#This Row],[SizTB]]</f>
        <v>0.74508960000000013</v>
      </c>
      <c r="W142" s="141">
        <v>274.99</v>
      </c>
      <c r="X142" s="6">
        <f>IF(Table5[[#This Row],[Cost]],Table5[[#This Row],[Cost]]/Table5[[#This Row],[SizTB]]*Exchange_Rate,"")</f>
        <v>34.373750000000001</v>
      </c>
      <c r="Y142" s="146">
        <f>Table5[[#This Row],[Cost]]+((CompareWarrYrs-Table5[[#This Row],[Warranty]])*(Incremental_Warr_Yr*Table5[[#This Row],[Cost]]))*Exchange_Rate</f>
        <v>335.48779999999999</v>
      </c>
      <c r="Z142" s="6">
        <f>IF(Table5[[#This Row],[$+Warr]],Table5[[#This Row],[$+Warr]]/Table5[[#This Row],[SizTB]],"")</f>
        <v>41.935974999999999</v>
      </c>
      <c r="AA142" s="6">
        <f>Table5[[#This Row],[$PerTB]]/CompareWarrYrs</f>
        <v>8.3871950000000002</v>
      </c>
      <c r="AB142" s="6">
        <f>IF(OR(Table5[[#This Row],[$ TB/year]]="",Table5[[#This Row],[Energy$yearPerTB]]=""),"",Table5[[#This Row],[$ TB/year]]+Table5[[#This Row],[Energy$yearPerTB]])</f>
        <v>9.1322846000000002</v>
      </c>
      <c r="AC142" s="156">
        <v>20</v>
      </c>
      <c r="AD142" s="157">
        <v>29</v>
      </c>
      <c r="AE142" s="103" t="s">
        <v>37</v>
      </c>
    </row>
    <row r="143" spans="1:31" x14ac:dyDescent="0.25">
      <c r="A143" s="1">
        <v>43284</v>
      </c>
      <c r="B143" t="s">
        <v>6</v>
      </c>
      <c r="C143" s="96" t="s">
        <v>55</v>
      </c>
      <c r="D143" s="27" t="s">
        <v>49</v>
      </c>
      <c r="E143" s="81">
        <v>3.5</v>
      </c>
      <c r="F143" s="69">
        <v>10</v>
      </c>
      <c r="G143" s="42">
        <v>5400</v>
      </c>
      <c r="H143" s="5"/>
      <c r="I143" s="5"/>
      <c r="J143" s="61">
        <f>(Table5[[#This Row],[RPM]]/5400-1)</f>
        <v>0</v>
      </c>
      <c r="K143" s="45">
        <v>210</v>
      </c>
      <c r="L143">
        <v>3</v>
      </c>
      <c r="M143" s="36">
        <v>600000</v>
      </c>
      <c r="N143">
        <v>180</v>
      </c>
      <c r="O143" s="36">
        <v>1000000</v>
      </c>
      <c r="P143" s="35">
        <f t="shared" si="18"/>
        <v>100000000000000</v>
      </c>
      <c r="Q143" s="53">
        <f>12*1.79</f>
        <v>21.48</v>
      </c>
      <c r="R143" s="5">
        <v>5.7</v>
      </c>
      <c r="S143" s="5">
        <v>2.8</v>
      </c>
      <c r="T143" s="108">
        <v>0.5</v>
      </c>
      <c r="U143" s="111">
        <f>(((Table5[[#This Row],[Watts Active]]*Power_On_Hours_Year/1000)*Active_Duty_Cycle)+((Table5[[#This Row],[Watts Idle]]*Power_On_Hours_Year/1000)*(100%-Active_Duty_Cycle)))*CostPerKWH</f>
        <v>3.7035336000000001</v>
      </c>
      <c r="V143" s="142">
        <f>Table5[Energy$year]/Table5[[#This Row],[SizTB]]</f>
        <v>0.37035336000000002</v>
      </c>
      <c r="W143" s="141">
        <v>324.99</v>
      </c>
      <c r="X143" s="6">
        <f>IF(Table5[[#This Row],[Cost]],Table5[[#This Row],[Cost]]/Table5[[#This Row],[SizTB]]*Exchange_Rate,"")</f>
        <v>32.499000000000002</v>
      </c>
      <c r="Y143" s="146">
        <f>Table5[[#This Row],[Cost]]+((CompareWarrYrs-Table5[[#This Row],[Warranty]])*(Incremental_Warr_Yr*Table5[[#This Row],[Cost]]))*Exchange_Rate</f>
        <v>396.48779999999999</v>
      </c>
      <c r="Z143" s="6">
        <f>IF(Table5[[#This Row],[$+Warr]],Table5[[#This Row],[$+Warr]]/Table5[[#This Row],[SizTB]],"")</f>
        <v>39.648780000000002</v>
      </c>
      <c r="AA143" s="6">
        <f>Table5[[#This Row],[$PerTB]]/CompareWarrYrs</f>
        <v>7.9297560000000002</v>
      </c>
      <c r="AB143" s="6">
        <f>IF(OR(Table5[[#This Row],[$ TB/year]]="",Table5[[#This Row],[Energy$yearPerTB]]=""),"",Table5[[#This Row],[$ TB/year]]+Table5[[#This Row],[Energy$yearPerTB]])</f>
        <v>8.3001093600000004</v>
      </c>
      <c r="AC143" s="156">
        <v>20</v>
      </c>
      <c r="AD143" s="157">
        <v>29</v>
      </c>
      <c r="AE143" s="103" t="s">
        <v>37</v>
      </c>
    </row>
    <row r="144" spans="1:31" x14ac:dyDescent="0.25">
      <c r="A144" s="1">
        <v>43298</v>
      </c>
      <c r="B144" t="s">
        <v>6</v>
      </c>
      <c r="C144" s="96" t="s">
        <v>12</v>
      </c>
      <c r="D144" s="27" t="s">
        <v>49</v>
      </c>
      <c r="E144" s="81">
        <v>3.5</v>
      </c>
      <c r="F144" s="69">
        <v>2</v>
      </c>
      <c r="G144" s="42">
        <v>7200</v>
      </c>
      <c r="H144" s="5"/>
      <c r="I144" s="5"/>
      <c r="J144" s="61">
        <f>(Table5[[#This Row],[RPM]]/5400-1)</f>
        <v>0.33333333333333326</v>
      </c>
      <c r="K144" s="45">
        <v>164</v>
      </c>
      <c r="L144">
        <v>5</v>
      </c>
      <c r="M144" s="36">
        <v>600000</v>
      </c>
      <c r="N144">
        <v>300</v>
      </c>
      <c r="O144" s="36">
        <v>1000000</v>
      </c>
      <c r="P144" s="35">
        <v>1000000000000000</v>
      </c>
      <c r="Q144" s="53">
        <f>12*1.9</f>
        <v>22.799999999999997</v>
      </c>
      <c r="R144" s="5">
        <v>7.8</v>
      </c>
      <c r="S144" s="5">
        <v>6</v>
      </c>
      <c r="T144" s="108">
        <v>1.4</v>
      </c>
      <c r="U144" s="111">
        <f>(((Table5[[#This Row],[Watts Active]]*Power_On_Hours_Year/1000)*Active_Duty_Cycle)+((Table5[[#This Row],[Watts Idle]]*Power_On_Hours_Year/1000)*(100%-Active_Duty_Cycle)))*CostPerKWH</f>
        <v>6.9687792000000002</v>
      </c>
      <c r="V144" s="142">
        <f>Table5[Energy$year]/Table5[[#This Row],[SizTB]]</f>
        <v>3.4843896000000001</v>
      </c>
      <c r="W144" s="141">
        <v>109.99</v>
      </c>
      <c r="X144" s="6">
        <f>IF(Table5[[#This Row],[Cost]],Table5[[#This Row],[Cost]]/Table5[[#This Row],[SizTB]]*Exchange_Rate,"")</f>
        <v>54.994999999999997</v>
      </c>
      <c r="Y144" s="146">
        <f>Table5[[#This Row],[Cost]]+((CompareWarrYrs-Table5[[#This Row],[Warranty]])*(Incremental_Warr_Yr*Table5[[#This Row],[Cost]]))*Exchange_Rate</f>
        <v>109.99</v>
      </c>
      <c r="Z144" s="6">
        <f>IF(Table5[[#This Row],[$+Warr]],Table5[[#This Row],[$+Warr]]/Table5[[#This Row],[SizTB]],"")</f>
        <v>54.994999999999997</v>
      </c>
      <c r="AA144" s="6">
        <f>Table5[[#This Row],[$PerTB]]/CompareWarrYrs</f>
        <v>10.998999999999999</v>
      </c>
      <c r="AB144" s="6">
        <f>IF(OR(Table5[[#This Row],[$ TB/year]]="",Table5[[#This Row],[Energy$yearPerTB]]=""),"",Table5[[#This Row],[$ TB/year]]+Table5[[#This Row],[Energy$yearPerTB]])</f>
        <v>14.483389599999999</v>
      </c>
      <c r="AC144" s="156">
        <v>31</v>
      </c>
      <c r="AD144" s="157">
        <v>34</v>
      </c>
      <c r="AE144" s="40"/>
    </row>
    <row r="145" spans="1:31" x14ac:dyDescent="0.25">
      <c r="A145" s="1">
        <v>43298</v>
      </c>
      <c r="B145" t="s">
        <v>6</v>
      </c>
      <c r="C145" s="96" t="s">
        <v>12</v>
      </c>
      <c r="D145" s="27" t="s">
        <v>49</v>
      </c>
      <c r="E145" s="81">
        <v>3.5</v>
      </c>
      <c r="F145" s="69">
        <v>3</v>
      </c>
      <c r="G145" s="42">
        <v>7200</v>
      </c>
      <c r="H145" s="5"/>
      <c r="I145" s="5"/>
      <c r="J145" s="61">
        <f>(Table5[[#This Row],[RPM]]/5400-1)</f>
        <v>0.33333333333333326</v>
      </c>
      <c r="K145" s="45"/>
      <c r="L145">
        <v>5</v>
      </c>
      <c r="M145" s="36">
        <v>600000</v>
      </c>
      <c r="N145">
        <v>300</v>
      </c>
      <c r="O145" s="36">
        <v>1000000</v>
      </c>
      <c r="P145" s="35">
        <v>1000000000000000</v>
      </c>
      <c r="Q145" s="53">
        <f>12*1.9</f>
        <v>22.799999999999997</v>
      </c>
      <c r="R145" s="5">
        <v>8.6</v>
      </c>
      <c r="S145" s="5">
        <v>6.5</v>
      </c>
      <c r="T145" s="108">
        <v>0.6</v>
      </c>
      <c r="U145" s="111">
        <f>(((Table5[[#This Row],[Watts Active]]*Power_On_Hours_Year/1000)*Active_Duty_Cycle)+((Table5[[#This Row],[Watts Idle]]*Power_On_Hours_Year/1000)*(100%-Active_Duty_Cycle)))*CostPerKWH</f>
        <v>7.5823824000000002</v>
      </c>
      <c r="V145" s="142">
        <f>Table5[Energy$year]/Table5[[#This Row],[SizTB]]</f>
        <v>2.5274608000000001</v>
      </c>
      <c r="W145" s="141">
        <v>233.89</v>
      </c>
      <c r="X145" s="6">
        <f>IF(Table5[[#This Row],[Cost]],Table5[[#This Row],[Cost]]/Table5[[#This Row],[SizTB]]*Exchange_Rate,"")</f>
        <v>77.963333333333324</v>
      </c>
      <c r="Y145" s="146">
        <f>Table5[[#This Row],[Cost]]+((CompareWarrYrs-Table5[[#This Row],[Warranty]])*(Incremental_Warr_Yr*Table5[[#This Row],[Cost]]))*Exchange_Rate</f>
        <v>233.89</v>
      </c>
      <c r="Z145" s="6">
        <f>IF(Table5[[#This Row],[$+Warr]],Table5[[#This Row],[$+Warr]]/Table5[[#This Row],[SizTB]],"")</f>
        <v>77.963333333333324</v>
      </c>
      <c r="AA145" s="6">
        <f>Table5[[#This Row],[$PerTB]]/CompareWarrYrs</f>
        <v>15.592666666666664</v>
      </c>
      <c r="AB145" s="6">
        <f>IF(OR(Table5[[#This Row],[$ TB/year]]="",Table5[[#This Row],[Energy$yearPerTB]]=""),"",Table5[[#This Row],[$ TB/year]]+Table5[[#This Row],[Energy$yearPerTB]])</f>
        <v>18.120127466666666</v>
      </c>
      <c r="AC145" s="156"/>
      <c r="AD145" s="157"/>
      <c r="AE145" s="40"/>
    </row>
    <row r="146" spans="1:31" x14ac:dyDescent="0.25">
      <c r="A146" s="1">
        <v>43307</v>
      </c>
      <c r="B146" t="s">
        <v>6</v>
      </c>
      <c r="C146" s="96" t="s">
        <v>12</v>
      </c>
      <c r="D146" s="27" t="s">
        <v>49</v>
      </c>
      <c r="E146" s="81">
        <v>3.5</v>
      </c>
      <c r="F146" s="69">
        <v>4</v>
      </c>
      <c r="G146" s="42">
        <v>7200</v>
      </c>
      <c r="H146" s="5"/>
      <c r="I146" s="5"/>
      <c r="J146" s="61">
        <f>(Table5[[#This Row],[RPM]]/5400-1)</f>
        <v>0.33333333333333326</v>
      </c>
      <c r="K146" s="45">
        <v>202</v>
      </c>
      <c r="L146">
        <v>5</v>
      </c>
      <c r="M146" s="36">
        <v>600000</v>
      </c>
      <c r="N146">
        <v>300</v>
      </c>
      <c r="O146" s="36">
        <v>1000000</v>
      </c>
      <c r="P146" s="35">
        <v>1000000000000000</v>
      </c>
      <c r="Q146" s="53">
        <f>12*1.79</f>
        <v>21.48</v>
      </c>
      <c r="R146" s="5">
        <v>9.1</v>
      </c>
      <c r="S146" s="5">
        <v>7.1</v>
      </c>
      <c r="T146" s="108">
        <v>1</v>
      </c>
      <c r="U146" s="111">
        <f>(((Table5[[#This Row],[Watts Active]]*Power_On_Hours_Year/1000)*Active_Duty_Cycle)+((Table5[[#This Row],[Watts Idle]]*Power_On_Hours_Year/1000)*(100%-Active_Duty_Cycle)))*CostPerKWH</f>
        <v>8.2179000000000002</v>
      </c>
      <c r="V146" s="142">
        <f>Table5[Energy$year]/Table5[[#This Row],[SizTB]]</f>
        <v>2.0544750000000001</v>
      </c>
      <c r="W146" s="141">
        <v>193.99</v>
      </c>
      <c r="X146" s="6">
        <f>IF(Table5[[#This Row],[Cost]],Table5[[#This Row],[Cost]]/Table5[[#This Row],[SizTB]]*Exchange_Rate,"")</f>
        <v>48.497500000000002</v>
      </c>
      <c r="Y146" s="146">
        <f>Table5[[#This Row],[Cost]]+((CompareWarrYrs-Table5[[#This Row],[Warranty]])*(Incremental_Warr_Yr*Table5[[#This Row],[Cost]]))*Exchange_Rate</f>
        <v>193.99</v>
      </c>
      <c r="Z146" s="6">
        <f>IF(Table5[[#This Row],[$+Warr]],Table5[[#This Row],[$+Warr]]/Table5[[#This Row],[SizTB]],"")</f>
        <v>48.497500000000002</v>
      </c>
      <c r="AA146" s="6">
        <f>Table5[[#This Row],[$PerTB]]/CompareWarrYrs</f>
        <v>9.6995000000000005</v>
      </c>
      <c r="AB146" s="6">
        <f>IF(OR(Table5[[#This Row],[$ TB/year]]="",Table5[[#This Row],[Energy$yearPerTB]]=""),"",Table5[[#This Row],[$ TB/year]]+Table5[[#This Row],[Energy$yearPerTB]])</f>
        <v>11.753975000000001</v>
      </c>
      <c r="AC146" s="156">
        <v>29</v>
      </c>
      <c r="AD146" s="157">
        <v>36</v>
      </c>
      <c r="AE146" s="40"/>
    </row>
    <row r="147" spans="1:31" x14ac:dyDescent="0.25">
      <c r="A147" s="1">
        <v>43284</v>
      </c>
      <c r="B147" t="s">
        <v>6</v>
      </c>
      <c r="C147" s="96" t="s">
        <v>12</v>
      </c>
      <c r="D147" s="27" t="s">
        <v>49</v>
      </c>
      <c r="E147" s="81">
        <v>3.5</v>
      </c>
      <c r="F147" s="69">
        <v>6</v>
      </c>
      <c r="G147" s="42">
        <v>7200</v>
      </c>
      <c r="H147" s="5"/>
      <c r="I147" s="5"/>
      <c r="J147" s="61">
        <f>(Table5[[#This Row],[RPM]]/5400-1)</f>
        <v>0.33333333333333326</v>
      </c>
      <c r="K147" s="45">
        <v>227</v>
      </c>
      <c r="L147">
        <v>5</v>
      </c>
      <c r="M147" s="36">
        <v>600000</v>
      </c>
      <c r="N147">
        <v>300</v>
      </c>
      <c r="O147" s="36">
        <v>1000000</v>
      </c>
      <c r="P147" s="35">
        <v>1000000000000000</v>
      </c>
      <c r="Q147" s="53">
        <f>12*1.79</f>
        <v>21.48</v>
      </c>
      <c r="R147" s="5">
        <v>9.1</v>
      </c>
      <c r="S147" s="5">
        <v>7.1</v>
      </c>
      <c r="T147" s="108">
        <v>1</v>
      </c>
      <c r="U147" s="111">
        <f>(((Table5[[#This Row],[Watts Active]]*Power_On_Hours_Year/1000)*Active_Duty_Cycle)+((Table5[[#This Row],[Watts Idle]]*Power_On_Hours_Year/1000)*(100%-Active_Duty_Cycle)))*CostPerKWH</f>
        <v>8.2179000000000002</v>
      </c>
      <c r="V147" s="142">
        <f>Table5[Energy$year]/Table5[[#This Row],[SizTB]]</f>
        <v>1.36965</v>
      </c>
      <c r="W147" s="141">
        <f>231.76-2.77</f>
        <v>228.98999999999998</v>
      </c>
      <c r="X147" s="6">
        <f>IF(Table5[[#This Row],[Cost]],Table5[[#This Row],[Cost]]/Table5[[#This Row],[SizTB]]*Exchange_Rate,"")</f>
        <v>38.164999999999999</v>
      </c>
      <c r="Y147" s="146">
        <f>Table5[[#This Row],[Cost]]+((CompareWarrYrs-Table5[[#This Row],[Warranty]])*(Incremental_Warr_Yr*Table5[[#This Row],[Cost]]))*Exchange_Rate</f>
        <v>228.98999999999998</v>
      </c>
      <c r="Z147" s="6">
        <f>IF(Table5[[#This Row],[$+Warr]],Table5[[#This Row],[$+Warr]]/Table5[[#This Row],[SizTB]],"")</f>
        <v>38.164999999999999</v>
      </c>
      <c r="AA147" s="6">
        <f>Table5[[#This Row],[$PerTB]]/CompareWarrYrs</f>
        <v>7.633</v>
      </c>
      <c r="AB147" s="6">
        <f>IF(OR(Table5[[#This Row],[$ TB/year]]="",Table5[[#This Row],[Energy$yearPerTB]]=""),"",Table5[[#This Row],[$ TB/year]]+Table5[[#This Row],[Energy$yearPerTB]])</f>
        <v>9.0026499999999992</v>
      </c>
      <c r="AC147" s="156">
        <v>29</v>
      </c>
      <c r="AD147" s="157">
        <v>36</v>
      </c>
      <c r="AE147" s="40"/>
    </row>
    <row r="148" spans="1:31" x14ac:dyDescent="0.25">
      <c r="A148" s="1">
        <v>43284</v>
      </c>
      <c r="B148" t="s">
        <v>6</v>
      </c>
      <c r="C148" s="96" t="s">
        <v>12</v>
      </c>
      <c r="D148" s="27" t="s">
        <v>49</v>
      </c>
      <c r="E148" s="81">
        <v>3.5</v>
      </c>
      <c r="F148" s="69">
        <v>8</v>
      </c>
      <c r="G148" s="42">
        <v>7200</v>
      </c>
      <c r="H148" s="5"/>
      <c r="I148" s="5"/>
      <c r="J148" s="61">
        <f>(Table5[[#This Row],[RPM]]/5400-1)</f>
        <v>0.33333333333333326</v>
      </c>
      <c r="K148" s="45">
        <v>205</v>
      </c>
      <c r="L148">
        <v>5</v>
      </c>
      <c r="M148" s="36">
        <v>600000</v>
      </c>
      <c r="N148">
        <v>300</v>
      </c>
      <c r="O148" s="36">
        <v>1000000</v>
      </c>
      <c r="P148" s="35">
        <v>1000000000000000</v>
      </c>
      <c r="Q148" s="53">
        <f>12*1.79</f>
        <v>21.48</v>
      </c>
      <c r="R148" s="5">
        <v>8.3000000000000007</v>
      </c>
      <c r="S148" s="5">
        <v>5.2</v>
      </c>
      <c r="T148" s="108">
        <v>1</v>
      </c>
      <c r="U148" s="111">
        <f>(((Table5[[#This Row],[Watts Active]]*Power_On_Hours_Year/1000)*Active_Duty_Cycle)+((Table5[[#This Row],[Watts Idle]]*Power_On_Hours_Year/1000)*(100%-Active_Duty_Cycle)))*CostPerKWH</f>
        <v>6.377090400000001</v>
      </c>
      <c r="V148" s="142">
        <f>Table5[Energy$year]/Table5[[#This Row],[SizTB]]</f>
        <v>0.79713630000000013</v>
      </c>
      <c r="W148" s="141">
        <v>341.29</v>
      </c>
      <c r="X148" s="6">
        <f>IF(Table5[[#This Row],[Cost]],Table5[[#This Row],[Cost]]/Table5[[#This Row],[SizTB]]*Exchange_Rate,"")</f>
        <v>42.661250000000003</v>
      </c>
      <c r="Y148" s="146">
        <f>Table5[[#This Row],[Cost]]+((CompareWarrYrs-Table5[[#This Row],[Warranty]])*(Incremental_Warr_Yr*Table5[[#This Row],[Cost]]))*Exchange_Rate</f>
        <v>341.29</v>
      </c>
      <c r="Z148" s="6">
        <f>IF(Table5[[#This Row],[$+Warr]],Table5[[#This Row],[$+Warr]]/Table5[[#This Row],[SizTB]],"")</f>
        <v>42.661250000000003</v>
      </c>
      <c r="AA148" s="6">
        <f>Table5[[#This Row],[$PerTB]]/CompareWarrYrs</f>
        <v>8.5322500000000012</v>
      </c>
      <c r="AB148" s="6">
        <f>IF(OR(Table5[[#This Row],[$ TB/year]]="",Table5[[#This Row],[Energy$yearPerTB]]=""),"",Table5[[#This Row],[$ TB/year]]+Table5[[#This Row],[Energy$yearPerTB]])</f>
        <v>9.3293863000000012</v>
      </c>
      <c r="AC148" s="156">
        <v>20</v>
      </c>
      <c r="AD148" s="157">
        <v>36</v>
      </c>
      <c r="AE148" s="103" t="s">
        <v>37</v>
      </c>
    </row>
    <row r="149" spans="1:31" ht="15.75" thickBot="1" x14ac:dyDescent="0.3">
      <c r="A149" s="1">
        <v>43334</v>
      </c>
      <c r="B149" t="s">
        <v>6</v>
      </c>
      <c r="C149" s="96" t="s">
        <v>12</v>
      </c>
      <c r="D149" s="88" t="s">
        <v>49</v>
      </c>
      <c r="E149" s="81">
        <v>3.5</v>
      </c>
      <c r="F149" s="69">
        <v>10</v>
      </c>
      <c r="G149" s="43">
        <v>7200</v>
      </c>
      <c r="H149" s="5"/>
      <c r="I149" s="5"/>
      <c r="J149" s="61">
        <f>(Table5[[#This Row],[RPM]]/5400-1)</f>
        <v>0.33333333333333326</v>
      </c>
      <c r="K149" s="46">
        <v>240</v>
      </c>
      <c r="L149">
        <v>5</v>
      </c>
      <c r="M149" s="36">
        <v>600000</v>
      </c>
      <c r="N149">
        <v>300</v>
      </c>
      <c r="O149" s="36">
        <v>1000000</v>
      </c>
      <c r="P149" s="35">
        <v>1000000000000000</v>
      </c>
      <c r="Q149" s="53">
        <f>12*1.8</f>
        <v>21.6</v>
      </c>
      <c r="R149" s="5">
        <v>5.7</v>
      </c>
      <c r="S149" s="5">
        <v>2.8</v>
      </c>
      <c r="T149" s="108">
        <v>0.5</v>
      </c>
      <c r="U149" s="112">
        <f>(((Table5[[#This Row],[Watts Active]]*Power_On_Hours_Year/1000)*Active_Duty_Cycle)+((Table5[[#This Row],[Watts Idle]]*Power_On_Hours_Year/1000)*(100%-Active_Duty_Cycle)))*CostPerKWH</f>
        <v>3.7035336000000001</v>
      </c>
      <c r="V149" s="144">
        <f>Table5[Energy$year]/Table5[[#This Row],[SizTB]]</f>
        <v>0.37035336000000002</v>
      </c>
      <c r="W149" s="141">
        <v>369.99</v>
      </c>
      <c r="X149" s="6">
        <f>IF(Table5[[#This Row],[Cost]],Table5[[#This Row],[Cost]]/Table5[[#This Row],[SizTB]]*Exchange_Rate,"")</f>
        <v>36.999000000000002</v>
      </c>
      <c r="Y149" s="147">
        <f>Table5[[#This Row],[Cost]]+((CompareWarrYrs-Table5[[#This Row],[Warranty]])*(Incremental_Warr_Yr*Table5[[#This Row],[Cost]]))*Exchange_Rate</f>
        <v>369.99</v>
      </c>
      <c r="Z149" s="6">
        <f>IF(Table5[[#This Row],[$+Warr]],Table5[[#This Row],[$+Warr]]/Table5[[#This Row],[SizTB]],"")</f>
        <v>36.999000000000002</v>
      </c>
      <c r="AA149" s="6">
        <f>Table5[[#This Row],[$PerTB]]/CompareWarrYrs</f>
        <v>7.3998000000000008</v>
      </c>
      <c r="AB149" s="6">
        <f>IF(OR(Table5[[#This Row],[$ TB/year]]="",Table5[[#This Row],[Energy$yearPerTB]]=""),"",Table5[[#This Row],[$ TB/year]]+Table5[[#This Row],[Energy$yearPerTB]])</f>
        <v>7.770153360000001</v>
      </c>
      <c r="AC149" s="156">
        <v>20</v>
      </c>
      <c r="AD149" s="157">
        <v>29</v>
      </c>
      <c r="AE149" s="103" t="s">
        <v>37</v>
      </c>
    </row>
    <row r="150" spans="1:31" ht="15.75" thickBot="1" x14ac:dyDescent="0.3">
      <c r="A150" s="7"/>
      <c r="B150" s="7"/>
      <c r="C150" s="7"/>
      <c r="D150" s="12" t="s">
        <v>23</v>
      </c>
      <c r="E150" s="83">
        <f>MIN(Table5[FormFactor])</f>
        <v>2.5</v>
      </c>
      <c r="F150" s="57">
        <f>MIN(Table5[SizTB])</f>
        <v>0.6</v>
      </c>
      <c r="G150" s="123">
        <f>MIN(Table5[RPM])</f>
        <v>5400</v>
      </c>
      <c r="H150" s="13">
        <f>MIN(Table5[AvgLatency])</f>
        <v>1.99</v>
      </c>
      <c r="I150" s="13">
        <f>MIN(Table5[SeekT])</f>
        <v>2.9</v>
      </c>
      <c r="J150" s="13">
        <f>MIN(Table5[PerfCmp])</f>
        <v>0</v>
      </c>
      <c r="K150" s="62">
        <f>MIN(Table5[XferRate])</f>
        <v>99</v>
      </c>
      <c r="L150" s="50">
        <f>MIN(Table5[Warranty])</f>
        <v>2</v>
      </c>
      <c r="M150" s="37">
        <f>MIN(Table5[CycleCnt])</f>
        <v>300000</v>
      </c>
      <c r="N150" s="13">
        <f>MIN(Table5[WorkLoad])</f>
        <v>55</v>
      </c>
      <c r="O150" s="37">
        <f>MIN(Table5[MTBF])</f>
        <v>500000</v>
      </c>
      <c r="P150" s="47">
        <f>MIN(Table5[RErrRate])</f>
        <v>100000000000000</v>
      </c>
      <c r="Q150" s="54">
        <f>MIN(Table5[MaxStartupWatts])</f>
        <v>4.5</v>
      </c>
      <c r="R150" s="13">
        <f>MIN(R3:R149)</f>
        <v>1.4</v>
      </c>
      <c r="S150" s="13">
        <f>MIN(S3:S149)</f>
        <v>0.45</v>
      </c>
      <c r="T150" s="109">
        <f>MIN(Table5[WattsStandby])</f>
        <v>0.1</v>
      </c>
      <c r="U150" s="113">
        <f>MIN(Table5[Energy$year])</f>
        <v>0</v>
      </c>
      <c r="V150" s="125">
        <f>MIN(Table5[Energy$yearPerTB])</f>
        <v>0</v>
      </c>
      <c r="W150" s="113">
        <f>MIN(Table5[Cost])</f>
        <v>39.99</v>
      </c>
      <c r="X150" s="168">
        <f>MIN(Table5[$ TB])</f>
        <v>21.66333333333333</v>
      </c>
      <c r="Y150" s="170">
        <f>MIN(Table5[$ TB])</f>
        <v>21.66333333333333</v>
      </c>
      <c r="Z150" s="14">
        <f>MIN(Table5[$PerTB])</f>
        <v>26.331666666666667</v>
      </c>
      <c r="AA150" s="125">
        <f>MIN(Table5[$ TB/year])</f>
        <v>5.2663333333333338</v>
      </c>
      <c r="AB150" s="125">
        <f>MIN(Table5[$TB/Yr+Power])</f>
        <v>6.6469405333333338</v>
      </c>
      <c r="AC150" s="159">
        <f>MIN(Table5[DBA_Idle])</f>
        <v>20</v>
      </c>
      <c r="AD150" s="160">
        <f>MIN(Table5[DBA_Seek])</f>
        <v>22</v>
      </c>
    </row>
    <row r="151" spans="1:31" ht="15.75" thickBot="1" x14ac:dyDescent="0.3">
      <c r="B151" s="4"/>
      <c r="D151" s="15" t="s">
        <v>34</v>
      </c>
      <c r="E151" s="84">
        <f>AVERAGE(Table5[FormFactor])</f>
        <v>3.2891156462585034</v>
      </c>
      <c r="F151" s="58">
        <f>AVERAGE(Table5[SizTB])</f>
        <v>4.6901360544217692</v>
      </c>
      <c r="G151" s="124">
        <f>AVERAGE(Table5[RPM])</f>
        <v>7182.6530612244896</v>
      </c>
      <c r="H151" s="16">
        <f>AVERAGE(Table5[AvgLatency])</f>
        <v>4.1821590909090949</v>
      </c>
      <c r="I151" s="16">
        <f>AVERAGE(Table5[SeekT])</f>
        <v>9.6943999999999999</v>
      </c>
      <c r="J151" s="16">
        <f>AVERAGE(Table5[PerfCmp])</f>
        <v>0.3301209372637946</v>
      </c>
      <c r="K151" s="63">
        <f>AVERAGE(Table5[XferRate])</f>
        <v>197.17846153846153</v>
      </c>
      <c r="L151" s="51">
        <f>AVERAGE(Table5[Warranty])</f>
        <v>3.8843537414965987</v>
      </c>
      <c r="M151" s="38">
        <f>AVERAGE(Table5[CycleCnt])</f>
        <v>538016.52892561979</v>
      </c>
      <c r="N151" s="16">
        <f>AVERAGE(Table5[WorkLoad])</f>
        <v>342.33333333333331</v>
      </c>
      <c r="O151" s="38">
        <f>AVERAGE(O3:O149)</f>
        <v>1599038.4615384615</v>
      </c>
      <c r="P151" s="48">
        <f>AVERAGE(Table5[RErrRate])</f>
        <v>5500000000000000</v>
      </c>
      <c r="Q151" s="55">
        <f>AVERAGE(Table5[MaxStartupWatts])</f>
        <v>20.479599999999998</v>
      </c>
      <c r="R151" s="16">
        <f>AVERAGE(R3:R149)</f>
        <v>6.8015602836879419</v>
      </c>
      <c r="S151" s="16">
        <f>AVERAGE(S3:S149)</f>
        <v>4.6837931034482745</v>
      </c>
      <c r="T151" s="110">
        <f>AVERAGE(Table5[WattsStandby])</f>
        <v>0.79984810126582262</v>
      </c>
      <c r="U151" s="114">
        <f>AVERAGE(Table5[Energy$year])</f>
        <v>5.4807761152447521</v>
      </c>
      <c r="V151" s="126">
        <f>AVERAGE(Table5[Energy$yearPerTB])</f>
        <v>2.0584238367139518</v>
      </c>
      <c r="W151" s="114">
        <f>AVERAGE(Table5[Cost])</f>
        <v>195.71646853146888</v>
      </c>
      <c r="X151" s="169">
        <f>AVERAGE(Table5[$ TB])</f>
        <v>61.616326257076246</v>
      </c>
      <c r="Y151" s="171">
        <f>AVERAGE(Table5[$ TB])</f>
        <v>61.616326257076246</v>
      </c>
      <c r="Z151" s="17">
        <f>AVERAGE(Table5[$PerTB])</f>
        <v>65.962546839826828</v>
      </c>
      <c r="AA151" s="126">
        <f>AVERAGE(Table5[$ TB/year])</f>
        <v>13.192509367965362</v>
      </c>
      <c r="AB151" s="126">
        <f>AVERAGE(Table5[$TB/Yr+Power])</f>
        <v>15.46959315968893</v>
      </c>
      <c r="AC151" s="161">
        <f>AVERAGE(Table5[DBA_Idle])</f>
        <v>26.278350515463917</v>
      </c>
      <c r="AD151" s="162">
        <f>AVERAGE(Table5[DBA_Seek])</f>
        <v>30.162500000000001</v>
      </c>
    </row>
    <row r="152" spans="1:31" ht="15.75" thickBot="1" x14ac:dyDescent="0.3">
      <c r="B152" s="4"/>
      <c r="D152" s="64" t="s">
        <v>22</v>
      </c>
      <c r="E152" s="85">
        <f>MEDIAN(Table5[FormFactor])</f>
        <v>3.5</v>
      </c>
      <c r="F152" s="58">
        <f>MEDIAN(Table5[SizTB])</f>
        <v>4</v>
      </c>
      <c r="G152" s="124">
        <f>MEDIAN(Table5[RPM])</f>
        <v>7200</v>
      </c>
      <c r="H152" s="16">
        <f>MEDIAN(Table5[AvgLatency])</f>
        <v>4.16</v>
      </c>
      <c r="I152" s="16">
        <f>MEDIAN(Table5[SeekT])</f>
        <v>8.5</v>
      </c>
      <c r="J152" s="16">
        <f>MEDIAN(Table5[PerfCmp])</f>
        <v>0.33333333333333326</v>
      </c>
      <c r="K152" s="63">
        <f>MEDIAN(Table5[XferRate])</f>
        <v>200.5</v>
      </c>
      <c r="L152" s="51">
        <f>MEDIAN(Table5[Warranty])</f>
        <v>5</v>
      </c>
      <c r="M152" s="38">
        <f>MEDIAN(Table5[CycleCnt])</f>
        <v>600000</v>
      </c>
      <c r="N152" s="16">
        <f>MEDIAN(Table5[WorkLoad])</f>
        <v>300</v>
      </c>
      <c r="O152" s="38">
        <f>MEDIAN(Table5[MTBF])</f>
        <v>2000000</v>
      </c>
      <c r="P152" s="48">
        <f>MEDIAN(Table5[RErrRate])</f>
        <v>1000000000000000</v>
      </c>
      <c r="Q152" s="55">
        <f>MEDIAN(Table5[MaxStartupWatts])</f>
        <v>22.799999999999997</v>
      </c>
      <c r="R152" s="16">
        <f>MEDIAN(R3:R149)</f>
        <v>7</v>
      </c>
      <c r="S152" s="16">
        <f>MEDIAN(S3:S149)</f>
        <v>5</v>
      </c>
      <c r="T152" s="110">
        <f>MEDIAN(Table5[WattsStandby])</f>
        <v>0.63</v>
      </c>
      <c r="U152" s="114">
        <f>MEDIAN(Table5[Energy$year])</f>
        <v>5.960716800000001</v>
      </c>
      <c r="V152" s="126">
        <f>MEDIAN(Table5[Energy$yearPerTB])</f>
        <v>1.36965</v>
      </c>
      <c r="W152" s="114">
        <f>MEDIAN(Table5[Cost])</f>
        <v>170</v>
      </c>
      <c r="X152" s="169">
        <f>MEDIAN(Table5[$ TB])</f>
        <v>40.611249999999998</v>
      </c>
      <c r="Y152" s="171">
        <f>MEDIAN(Table5[$ TB])</f>
        <v>40.611249999999998</v>
      </c>
      <c r="Z152" s="17">
        <f>MEDIAN(Table5[$PerTB])</f>
        <v>43.747500000000002</v>
      </c>
      <c r="AA152" s="126">
        <f>MEDIAN(Table5[$ TB/year])</f>
        <v>8.7495000000000012</v>
      </c>
      <c r="AB152" s="126">
        <f>MEDIAN(Table5[$TB/Yr+Power])</f>
        <v>10.409515800000001</v>
      </c>
      <c r="AC152" s="161">
        <f>MEDIAN(Table5[DBA_Idle])</f>
        <v>26</v>
      </c>
      <c r="AD152" s="162">
        <f>MEDIAN(Table5[DBA_Seek])</f>
        <v>29</v>
      </c>
    </row>
    <row r="153" spans="1:31" ht="15.75" thickBot="1" x14ac:dyDescent="0.3">
      <c r="B153" t="s">
        <v>99</v>
      </c>
      <c r="D153" s="15" t="s">
        <v>24</v>
      </c>
      <c r="E153" s="84">
        <f>MAX(Table5[FormFactor])</f>
        <v>3.5</v>
      </c>
      <c r="F153" s="58">
        <f>MAX(Table5[SizTB])</f>
        <v>14</v>
      </c>
      <c r="G153" s="124">
        <f>MAX(Table5[RPM])</f>
        <v>15030</v>
      </c>
      <c r="H153" s="16">
        <f>MAX(Table5[AvgLatency])</f>
        <v>6</v>
      </c>
      <c r="I153" s="16">
        <f>MAX(Table5[SeekT])</f>
        <v>16</v>
      </c>
      <c r="J153" s="16">
        <f>MAX(Table5[PerfCmp])</f>
        <v>1.7833333333333332</v>
      </c>
      <c r="K153" s="63">
        <f>MAX(Table5[XferRate])</f>
        <v>270</v>
      </c>
      <c r="L153" s="51">
        <f>MAX(Table5[Warranty])</f>
        <v>5</v>
      </c>
      <c r="M153" s="38">
        <f>MAX(Table5[CycleCnt])</f>
        <v>600000</v>
      </c>
      <c r="N153" s="16">
        <f>MAX(Table5[WorkLoad])</f>
        <v>550</v>
      </c>
      <c r="O153" s="38">
        <f>MAX(Table5[MTBF])</f>
        <v>2500000</v>
      </c>
      <c r="P153" s="48">
        <f>MAX(Table5[RErrRate])</f>
        <v>1E+17</v>
      </c>
      <c r="Q153" s="55">
        <f>MAX(Table5[MaxStartupWatts])</f>
        <v>31.200000000000003</v>
      </c>
      <c r="R153" s="16">
        <f>MAX(R3:R149)</f>
        <v>11.4</v>
      </c>
      <c r="S153" s="16">
        <f>MAX(S3:S149)</f>
        <v>8.15</v>
      </c>
      <c r="T153" s="110">
        <f>MAX(Table5[WattsStandby])</f>
        <v>4.88</v>
      </c>
      <c r="U153" s="114">
        <f>MAX(Table5[Energy$year])</f>
        <v>9.2917056000000002</v>
      </c>
      <c r="V153" s="126">
        <f>MAX(Table5[Energy$yearPerTB])</f>
        <v>11.468536</v>
      </c>
      <c r="W153" s="114">
        <f>MAX(Table5[Cost])</f>
        <v>650</v>
      </c>
      <c r="X153" s="169">
        <f>MAX(Table5[$ TB])</f>
        <v>499.98333333333335</v>
      </c>
      <c r="Y153" s="171">
        <f>MAX(Table5[$ TB])</f>
        <v>499.98333333333335</v>
      </c>
      <c r="Z153" s="17">
        <f>MAX(Table5[$PerTB])</f>
        <v>499.98333333333335</v>
      </c>
      <c r="AA153" s="126">
        <f>MAX(Table5[$ TB/year])</f>
        <v>99.99666666666667</v>
      </c>
      <c r="AB153" s="126">
        <f>MAX(Table5[$TB/Yr+Power])</f>
        <v>111.46520266666667</v>
      </c>
      <c r="AC153" s="161">
        <f>MAX(Table5[DBA_Idle])</f>
        <v>34</v>
      </c>
      <c r="AD153" s="162">
        <f>MAX(Table5[DBA_Seek])</f>
        <v>36</v>
      </c>
    </row>
    <row r="154" spans="1:31" ht="15.75" thickBot="1" x14ac:dyDescent="0.3">
      <c r="D154" s="18" t="s">
        <v>38</v>
      </c>
      <c r="E154" s="49">
        <f>COUNT(Table5[FormFactor])</f>
        <v>147</v>
      </c>
      <c r="F154" s="49">
        <f>COUNT(Table5[SizTB])</f>
        <v>147</v>
      </c>
      <c r="G154" s="49">
        <f>COUNT(Table5[RPM])</f>
        <v>147</v>
      </c>
      <c r="H154" s="19">
        <f>COUNT(Table5[AvgLatency])</f>
        <v>88</v>
      </c>
      <c r="I154" s="19">
        <f>COUNT(Table5[SeekT])</f>
        <v>50</v>
      </c>
      <c r="J154" s="19">
        <f>COUNT(Table5[PerfCmp])</f>
        <v>147</v>
      </c>
      <c r="K154" s="56">
        <f>COUNT(Table5[XferRate])</f>
        <v>130</v>
      </c>
      <c r="L154" s="52">
        <f>COUNT(Table5[Warranty])</f>
        <v>147</v>
      </c>
      <c r="M154" s="19">
        <f>COUNT(Table5[CycleCnt])</f>
        <v>121</v>
      </c>
      <c r="N154" s="19">
        <f>COUNT(Table5[WorkLoad])</f>
        <v>90</v>
      </c>
      <c r="O154" s="19">
        <f>COUNT(Table5[MTBF])</f>
        <v>104</v>
      </c>
      <c r="P154" s="49">
        <f>COUNT(Table5[RErrRate])</f>
        <v>143</v>
      </c>
      <c r="Q154" s="128">
        <f>COUNT(Table5[MaxStartupWatts])</f>
        <v>80</v>
      </c>
      <c r="R154" s="129">
        <f>COUNT(Table5[Watts Active])</f>
        <v>141</v>
      </c>
      <c r="S154" s="129">
        <f>COUNT(Table5[Watts Idle])</f>
        <v>145</v>
      </c>
      <c r="T154" s="129">
        <f>COUNT(Table5[WattsStandby])</f>
        <v>79</v>
      </c>
      <c r="U154" s="129">
        <f>COUNT(Table5[Energy$year])</f>
        <v>143</v>
      </c>
      <c r="V154" s="130">
        <f>COUNT(Table5[Energy$yearPerTB])</f>
        <v>143</v>
      </c>
      <c r="W154" s="52">
        <f>COUNT(Table5[Cost])</f>
        <v>143</v>
      </c>
      <c r="X154" s="49">
        <f>COUNT(Table5[$ TB])</f>
        <v>143</v>
      </c>
      <c r="Y154" s="18">
        <f>COUNT(Table5[$ TB])</f>
        <v>143</v>
      </c>
      <c r="Z154" s="19">
        <f>COUNT(Table5[$PerTB])</f>
        <v>143</v>
      </c>
      <c r="AA154" s="127">
        <f>COUNTA(Table5[$ TB/year])</f>
        <v>147</v>
      </c>
      <c r="AB154" s="127">
        <f>COUNTA(Table5[$TB/Yr+Power])</f>
        <v>147</v>
      </c>
      <c r="AC154" s="163">
        <f>COUNTA(Table5[DBA_Idle])</f>
        <v>98</v>
      </c>
      <c r="AD154" s="164">
        <f>COUNTA(Table5[DBA_Seek])</f>
        <v>80</v>
      </c>
    </row>
    <row r="157" spans="1:31" ht="15.75" thickBot="1" x14ac:dyDescent="0.3"/>
    <row r="158" spans="1:31" ht="15.75" thickBot="1" x14ac:dyDescent="0.3">
      <c r="A158" s="199" t="s">
        <v>152</v>
      </c>
      <c r="B158" s="200"/>
      <c r="C158" s="211"/>
      <c r="D158" s="212"/>
      <c r="E158" s="82"/>
    </row>
    <row r="159" spans="1:31" ht="15.75" thickBot="1" x14ac:dyDescent="0.3">
      <c r="A159" s="201">
        <f>MAX(Table5[Date])</f>
        <v>43334</v>
      </c>
      <c r="B159" s="202"/>
      <c r="C159" s="21" t="s">
        <v>19</v>
      </c>
      <c r="D159" s="29">
        <v>0.125</v>
      </c>
      <c r="E159" s="86"/>
      <c r="G159" s="24"/>
    </row>
    <row r="160" spans="1:31" ht="15.75" thickBot="1" x14ac:dyDescent="0.3">
      <c r="C160" s="21" t="s">
        <v>28</v>
      </c>
      <c r="D160" s="22">
        <v>0.2</v>
      </c>
      <c r="E160" s="87"/>
      <c r="G160" s="25"/>
    </row>
    <row r="161" spans="1:10" ht="15.75" thickBot="1" x14ac:dyDescent="0.3">
      <c r="A161" s="199" t="s">
        <v>68</v>
      </c>
      <c r="B161" s="200"/>
      <c r="C161" s="21" t="s">
        <v>33</v>
      </c>
      <c r="D161" s="23">
        <v>5</v>
      </c>
      <c r="E161" s="4"/>
      <c r="G161" s="26"/>
    </row>
    <row r="162" spans="1:10" ht="15.75" thickBot="1" x14ac:dyDescent="0.3">
      <c r="A162" s="197">
        <f>MIN(Table5[Date])</f>
        <v>43027</v>
      </c>
      <c r="B162" s="198"/>
      <c r="C162" s="21" t="s">
        <v>45</v>
      </c>
      <c r="D162" s="22">
        <v>0.11</v>
      </c>
      <c r="E162" s="87"/>
      <c r="G162" s="25"/>
      <c r="J162" s="122"/>
    </row>
    <row r="163" spans="1:10" ht="15.75" thickBot="1" x14ac:dyDescent="0.3">
      <c r="C163" s="21" t="s">
        <v>29</v>
      </c>
      <c r="D163" s="28">
        <f>Days_in_Year*Hours_In_Day</f>
        <v>8765.76</v>
      </c>
      <c r="E163" s="26"/>
    </row>
    <row r="164" spans="1:10" ht="15.75" thickBot="1" x14ac:dyDescent="0.3">
      <c r="C164" s="21" t="s">
        <v>51</v>
      </c>
      <c r="D164" s="23">
        <v>24</v>
      </c>
      <c r="E164" s="4"/>
      <c r="G164" s="26"/>
      <c r="H164" s="26"/>
      <c r="I164" s="26"/>
    </row>
    <row r="165" spans="1:10" ht="15.75" thickBot="1" x14ac:dyDescent="0.3">
      <c r="C165" s="21" t="s">
        <v>53</v>
      </c>
      <c r="D165" s="23">
        <f>Days_In_Month*Hours_In_Day</f>
        <v>730.48</v>
      </c>
      <c r="E165" s="4"/>
      <c r="G165" s="26"/>
      <c r="H165" s="26"/>
      <c r="I165" s="26"/>
    </row>
    <row r="166" spans="1:10" ht="15.75" thickBot="1" x14ac:dyDescent="0.3">
      <c r="C166" s="21" t="s">
        <v>50</v>
      </c>
      <c r="D166" s="23">
        <f>Days_in_Year/Months_In_Year</f>
        <v>30.436666666666667</v>
      </c>
      <c r="E166" s="4"/>
    </row>
    <row r="167" spans="1:10" ht="15.75" thickBot="1" x14ac:dyDescent="0.3">
      <c r="C167" s="21" t="s">
        <v>56</v>
      </c>
      <c r="D167" s="23">
        <v>365.24</v>
      </c>
      <c r="E167" s="4"/>
    </row>
    <row r="168" spans="1:10" ht="15.75" thickBot="1" x14ac:dyDescent="0.3">
      <c r="C168" s="21" t="s">
        <v>52</v>
      </c>
      <c r="D168" s="23">
        <v>12</v>
      </c>
      <c r="E168" s="4"/>
      <c r="G168" s="26"/>
      <c r="H168" s="26"/>
      <c r="I168" s="26"/>
    </row>
    <row r="169" spans="1:10" ht="15.75" thickBot="1" x14ac:dyDescent="0.3">
      <c r="C169" s="21" t="s">
        <v>125</v>
      </c>
      <c r="D169" s="121">
        <v>1</v>
      </c>
    </row>
    <row r="170" spans="1:10" x14ac:dyDescent="0.25">
      <c r="C170" s="119"/>
      <c r="D170" s="120"/>
    </row>
    <row r="171" spans="1:10" x14ac:dyDescent="0.25">
      <c r="C171" s="118"/>
      <c r="D171" s="118"/>
    </row>
    <row r="172" spans="1:10" x14ac:dyDescent="0.25">
      <c r="A172" s="101" t="s">
        <v>39</v>
      </c>
    </row>
    <row r="173" spans="1:10" ht="15.75" thickBot="1" x14ac:dyDescent="0.3"/>
    <row r="174" spans="1:10" ht="15.75" thickBot="1" x14ac:dyDescent="0.3">
      <c r="B174" s="151" t="s">
        <v>140</v>
      </c>
      <c r="C174" s="151" t="s">
        <v>132</v>
      </c>
    </row>
    <row r="175" spans="1:10" ht="15.75" thickBot="1" x14ac:dyDescent="0.3">
      <c r="B175" s="134" t="s">
        <v>127</v>
      </c>
      <c r="C175" s="131" t="s">
        <v>128</v>
      </c>
    </row>
    <row r="176" spans="1:10" ht="15.75" thickBot="1" x14ac:dyDescent="0.3">
      <c r="B176" s="135" t="s">
        <v>126</v>
      </c>
      <c r="C176" s="132" t="s">
        <v>129</v>
      </c>
    </row>
    <row r="177" spans="2:3" ht="30.75" thickBot="1" x14ac:dyDescent="0.3">
      <c r="B177" s="136" t="s">
        <v>49</v>
      </c>
      <c r="C177" s="133" t="s">
        <v>130</v>
      </c>
    </row>
    <row r="178" spans="2:3" ht="30.75" thickBot="1" x14ac:dyDescent="0.3">
      <c r="B178" s="135" t="s">
        <v>110</v>
      </c>
      <c r="C178" s="132" t="s">
        <v>131</v>
      </c>
    </row>
    <row r="179" spans="2:3" ht="15.75" thickBot="1" x14ac:dyDescent="0.3"/>
    <row r="180" spans="2:3" ht="15.75" thickBot="1" x14ac:dyDescent="0.3">
      <c r="C180" s="151" t="s">
        <v>153</v>
      </c>
    </row>
    <row r="181" spans="2:3" ht="15.75" thickBot="1" x14ac:dyDescent="0.3">
      <c r="C181" s="131" t="s">
        <v>150</v>
      </c>
    </row>
  </sheetData>
  <sortState ref="A2:S61">
    <sortCondition ref="B2:B61"/>
    <sortCondition ref="C2:C61"/>
    <sortCondition ref="G2:G61"/>
  </sortState>
  <mergeCells count="12">
    <mergeCell ref="AC1:AD1"/>
    <mergeCell ref="A162:B162"/>
    <mergeCell ref="A161:B161"/>
    <mergeCell ref="A159:B159"/>
    <mergeCell ref="W1:X1"/>
    <mergeCell ref="L1:P1"/>
    <mergeCell ref="Q1:V1"/>
    <mergeCell ref="C158:D158"/>
    <mergeCell ref="A158:B158"/>
    <mergeCell ref="G1:K1"/>
    <mergeCell ref="A1:F1"/>
    <mergeCell ref="Y1:AB1"/>
  </mergeCells>
  <conditionalFormatting sqref="X3:X149">
    <cfRule type="top10" dxfId="89" priority="669" bottom="1" rank="20"/>
  </conditionalFormatting>
  <conditionalFormatting sqref="AA3:AB149">
    <cfRule type="top10" dxfId="88" priority="672" bottom="1" rank="20"/>
  </conditionalFormatting>
  <conditionalFormatting sqref="V7:V149">
    <cfRule type="colorScale" priority="675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U3:U149 V3:V6">
    <cfRule type="colorScale" priority="678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Z3:Z149">
    <cfRule type="top10" dxfId="87" priority="681" bottom="1" rank="20"/>
  </conditionalFormatting>
  <conditionalFormatting sqref="Y85">
    <cfRule type="top10" dxfId="86" priority="2" bottom="1" rank="20"/>
  </conditionalFormatting>
  <conditionalFormatting sqref="AB3:AB149">
    <cfRule type="top10" dxfId="85" priority="1" bottom="1" rank="20"/>
  </conditionalFormatting>
  <hyperlinks>
    <hyperlink ref="C27" r:id="rId1" xr:uid="{00000000-0004-0000-0000-000000000000}"/>
    <hyperlink ref="C3" r:id="rId2" xr:uid="{00000000-0004-0000-0000-000001000000}"/>
    <hyperlink ref="C4:C6" r:id="rId3" display="Deskstar NAS" xr:uid="{00000000-0004-0000-0000-000002000000}"/>
    <hyperlink ref="C21" r:id="rId4" xr:uid="{00000000-0004-0000-0000-000003000000}"/>
    <hyperlink ref="C20" r:id="rId5" xr:uid="{00000000-0004-0000-0000-000004000000}"/>
    <hyperlink ref="C22" r:id="rId6" xr:uid="{00000000-0004-0000-0000-000005000000}"/>
    <hyperlink ref="C14:C17" r:id="rId7" display="Ultrastar 7K6" xr:uid="{00000000-0004-0000-0000-000006000000}"/>
    <hyperlink ref="C116:C119" r:id="rId8" display="Black" xr:uid="{00000000-0004-0000-0000-000007000000}"/>
    <hyperlink ref="C42:C47" r:id="rId9" location="pro-specs" display="BarraCuda Pro" xr:uid="{00000000-0004-0000-0000-000008000000}"/>
    <hyperlink ref="C58:C63" r:id="rId10" display="Exos 7E8" xr:uid="{00000000-0004-0000-0000-000009000000}"/>
    <hyperlink ref="C52" r:id="rId11" xr:uid="{00000000-0004-0000-0000-00000A000000}"/>
    <hyperlink ref="C50:C51" r:id="rId12" display="Exos 10E2400" xr:uid="{00000000-0004-0000-0000-00000B000000}"/>
    <hyperlink ref="C64:C65" r:id="rId13" display="Exos X10" xr:uid="{00000000-0004-0000-0000-00000C000000}"/>
    <hyperlink ref="C66" r:id="rId14" xr:uid="{00000000-0004-0000-0000-00000D000000}"/>
    <hyperlink ref="C53" r:id="rId15" location="exos-5e8" xr:uid="{00000000-0004-0000-0000-00000E000000}"/>
    <hyperlink ref="C127:C133" r:id="rId16" display="Gold Enterprise" xr:uid="{00000000-0004-0000-0000-00000F000000}"/>
    <hyperlink ref="C144:C149" r:id="rId17" display="RED NAS Pro" xr:uid="{00000000-0004-0000-0000-000010000000}"/>
    <hyperlink ref="C136:C143" r:id="rId18" display="Red NAS" xr:uid="{00000000-0004-0000-0000-000011000000}"/>
    <hyperlink ref="C122:C126" r:id="rId19" display="Blue" xr:uid="{00000000-0004-0000-0000-000012000000}"/>
    <hyperlink ref="C114" r:id="rId20" xr:uid="{00000000-0004-0000-0000-000013000000}"/>
    <hyperlink ref="C71:C77" r:id="rId21" location="specs" display="IronWolf" xr:uid="{00000000-0004-0000-0000-000014000000}"/>
    <hyperlink ref="C79:C83" r:id="rId22" location="pro-specs" display="IronWolf Pro" xr:uid="{00000000-0004-0000-0000-000015000000}"/>
    <hyperlink ref="C85" r:id="rId23" xr:uid="{00000000-0004-0000-0000-000016000000}"/>
    <hyperlink ref="C69:C70" r:id="rId24" location="3-5-inch-specs" display="FireCuda SSHD" xr:uid="{00000000-0004-0000-0000-000017000000}"/>
    <hyperlink ref="A172" r:id="rId25" xr:uid="{00000000-0004-0000-0000-000018000000}"/>
    <hyperlink ref="AE142:AE143" r:id="rId26" display="Helium filled" xr:uid="{00000000-0004-0000-0000-000019000000}"/>
    <hyperlink ref="AE131:AE133" r:id="rId27" display="Helium filled" xr:uid="{00000000-0004-0000-0000-00001A000000}"/>
    <hyperlink ref="AE148:AE149" r:id="rId28" display="Helium filled" xr:uid="{00000000-0004-0000-0000-00001B000000}"/>
    <hyperlink ref="AE23:AE26" r:id="rId29" display="Helium filled" xr:uid="{00000000-0004-0000-0000-00001C000000}"/>
    <hyperlink ref="AE18" r:id="rId30" xr:uid="{00000000-0004-0000-0000-00001D000000}"/>
    <hyperlink ref="AE27" r:id="rId31" xr:uid="{00000000-0004-0000-0000-00001E000000}"/>
    <hyperlink ref="C26" r:id="rId32" xr:uid="{00000000-0004-0000-0000-00001F000000}"/>
    <hyperlink ref="C25" r:id="rId33" xr:uid="{00000000-0004-0000-0000-000020000000}"/>
    <hyperlink ref="C7" r:id="rId34" display="Travelstar 5K100" xr:uid="{00000000-0004-0000-0000-000021000000}"/>
    <hyperlink ref="C8" r:id="rId35" display="Travelstar 7K100" xr:uid="{00000000-0004-0000-0000-000022000000}"/>
    <hyperlink ref="C102:C104" r:id="rId36" display="N300" xr:uid="{00000000-0004-0000-0000-000023000000}"/>
    <hyperlink ref="C109:C113" r:id="rId37" display="X300" xr:uid="{00000000-0004-0000-0000-000024000000}"/>
    <hyperlink ref="C106:C108" r:id="rId38" display="P300" xr:uid="{00000000-0004-0000-0000-000025000000}"/>
    <hyperlink ref="C115" r:id="rId39" xr:uid="{00000000-0004-0000-0000-000026000000}"/>
    <hyperlink ref="C134:C135" r:id="rId40" display="Red NAS" xr:uid="{00000000-0004-0000-0000-000027000000}"/>
    <hyperlink ref="C89" r:id="rId41" xr:uid="{00000000-0004-0000-0000-000028000000}"/>
    <hyperlink ref="C90:C91" r:id="rId42" display="Enterprise Capacity" xr:uid="{00000000-0004-0000-0000-000029000000}"/>
    <hyperlink ref="C95" r:id="rId43" xr:uid="{00000000-0004-0000-0000-00002A000000}"/>
    <hyperlink ref="C98" r:id="rId44" xr:uid="{00000000-0004-0000-0000-00002B000000}"/>
    <hyperlink ref="C78" r:id="rId45" location="pro-specs" xr:uid="{00000000-0004-0000-0000-00002C000000}"/>
    <hyperlink ref="C84" r:id="rId46" location="pro-specs" xr:uid="{00000000-0004-0000-0000-00002D000000}"/>
    <hyperlink ref="W114" r:id="rId47" display="https://www.newegg.com/Product/Product.aspx?Item=9SIA5AD5YN7412&amp;utm_medium=Email&amp;utm_source=GD110617&amp;cm_mmc=EMC-GD110617-_-landing-_-Item-_-9SIA5AD5YN7412" xr:uid="{00000000-0004-0000-0000-00002E000000}"/>
    <hyperlink ref="W122" r:id="rId48" display="https://www.newegg.com/Product/Product.aspx?Item=22-236-339&amp;utm_medium=Email&amp;utm_source=GD110617&amp;cm_mmc=EMC-GD110617-_-landing-_-Item-_-22-236-339" xr:uid="{00000000-0004-0000-0000-00002F000000}"/>
    <hyperlink ref="W139" r:id="rId49" display="https://www.newegg.com/Product/Product.aspx?Item=N82E16822236599&amp;utm_medium=Email&amp;utm_source=IGNEFL121417&amp;cm_mmc=EMC-IGNEFL121417-_-EMC-121417-Index-_-DesktopInternalHardDrives-_-22236599-S0E&amp;ignorebbr=1" xr:uid="{00000000-0004-0000-0000-000030000000}"/>
    <hyperlink ref="W138" r:id="rId50" display="http://www.newegg.com/Product/Product.aspx?Item=N82E16822236344&amp;utm_medium=Email&amp;utm_source=IGNEFL121917&amp;cm_mmc=EMC-IGNEFL121917-_-EMC-121917-Index-_-DesktopInternalHardDrives-_-22236344-S0I&amp;ignorebbr=1" xr:uid="{00000000-0004-0000-0000-000031000000}"/>
    <hyperlink ref="W104" r:id="rId51" display="http://www.newegg.com/Product/Product.aspx?Item=N82E16822149695&amp;utm_medium=Email&amp;utm_source=IGNEFL121517&amp;cm_mmc=EMC-IGNEFL121517-_-EMC-121517-Index-_-DesktopInternalHardDrives-_-22149695-S1A3C&amp;ignorebbr=1" xr:uid="{00000000-0004-0000-0000-000032000000}"/>
    <hyperlink ref="W103" r:id="rId52" display="https://www.newegg.com/Product/Product.aspx?item=N82E16822149696" xr:uid="{00000000-0004-0000-0000-000033000000}"/>
    <hyperlink ref="W102" r:id="rId53" display="https://www.newegg.com/Product/Product.aspx?Item=22-149-697&amp;utm_medium=Email&amp;utm_source=GD012918&amp;cm_mmc=EMC-GD012918-_-landing-_-Item-_-22-149-697" xr:uid="{00000000-0004-0000-0000-000034000000}"/>
    <hyperlink ref="W8" r:id="rId54" display="https://www.newegg.com/Product/Product.aspx?Item=N82E16822145875" xr:uid="{00000000-0004-0000-0000-000035000000}"/>
    <hyperlink ref="W20" r:id="rId55" display="https://www.newegg.com/Product/Product.aspx?Item=9SIA99462P4004" xr:uid="{00000000-0004-0000-0000-000036000000}"/>
    <hyperlink ref="W21" r:id="rId56" display="https://www.newegg.com/Product/Product.aspx?Item=9SIA99460Z1529" xr:uid="{00000000-0004-0000-0000-000037000000}"/>
    <hyperlink ref="W22" r:id="rId57" display="https://www.newegg.com/Product/Product.aspx?Item=9SIA75M5XX1494" xr:uid="{00000000-0004-0000-0000-000038000000}"/>
    <hyperlink ref="W72" r:id="rId58" display="https://www.newegg.com/Product/Product.aspx?item=N82E16822179007" xr:uid="{00000000-0004-0000-0000-000039000000}"/>
    <hyperlink ref="AE22" r:id="rId59" display="32GB NAND, media caching" xr:uid="{00000000-0004-0000-0000-00003A000000}"/>
    <hyperlink ref="AE24" r:id="rId60" display="Helium filled, media caching" xr:uid="{00000000-0004-0000-0000-00003B000000}"/>
    <hyperlink ref="AE130" r:id="rId61" display="http://www.tomsitpro.com/articles/wd-hgst-8tb-hdd-gold,1-3248.html" xr:uid="{00000000-0004-0000-0000-00003C000000}"/>
    <hyperlink ref="C18" r:id="rId62" xr:uid="{00000000-0004-0000-0000-00003D000000}"/>
    <hyperlink ref="C23" r:id="rId63" xr:uid="{00000000-0004-0000-0000-00003E000000}"/>
    <hyperlink ref="W23" r:id="rId64" display="https://www.amazon.com/HGST-Ultrastar-Enterprise-Internal-Drive/dp/B00GTD3AR2/ref=pd_day0_147_15?_encoding=UTF8&amp;pd_rd_i=B00GTD3AR2&amp;pd_rd_r=1AFF4H5J5MHM5Z596MP7&amp;pd_rd_w=wARcB&amp;pd_rd_wg=NqtSv&amp;psc=1&amp;refRID=1AFF4H5J5MHM5Z596MP7" xr:uid="{00000000-0004-0000-0000-00003F000000}"/>
    <hyperlink ref="W119" r:id="rId65" display="https://www.newegg.com/Product/Product.aspx?Item=N82E16822235281&amp;ignorebbr=1" xr:uid="{00000000-0004-0000-0000-000040000000}"/>
    <hyperlink ref="W117" r:id="rId66" display="https://www.newegg.com/Product/Product.aspx?item=N82E16822236624" xr:uid="{00000000-0004-0000-0000-000041000000}"/>
    <hyperlink ref="W116" r:id="rId67" display="http://www.newegg.com/Product/Product.aspx?Item=N82E16822236625&amp;utm_medium=Email&amp;utm_source=IGNEFL121417&amp;cm_mmc=EMC-IGNEFL121417-_-EMC-121417-Index-_-DesktopInternalHardDrives-_-22236625-S1A1D&amp;ignorebbr=1" xr:uid="{00000000-0004-0000-0000-000042000000}"/>
    <hyperlink ref="W118" r:id="rId68" display="https://www.newegg.com/Product/Product.aspx?item=N82E16822235128" xr:uid="{00000000-0004-0000-0000-000043000000}"/>
    <hyperlink ref="W135" r:id="rId69" display="https://www.newegg.com/Product/Product.aspx?item=N82E16822236600" xr:uid="{00000000-0004-0000-0000-000044000000}"/>
    <hyperlink ref="W134" r:id="rId70" display="https://www.newegg.com/Product/Product.aspx?item=N82E16822236601" xr:uid="{00000000-0004-0000-0000-000045000000}"/>
    <hyperlink ref="W83" r:id="rId71" display="https://www.newegg.com/Product/Product.aspx?Item=22-179-103&amp;utm_medium=Email&amp;utm_source=GD072518&amp;cm_mmc=EMC-GD072518-_-landing-_-Item-_-22-179-103" xr:uid="{00000000-0004-0000-0000-000046000000}"/>
    <hyperlink ref="W84" r:id="rId72" display="https://www.amazon.com/Seagate-IronWolf-7200RPM-3-5-Inch-ST12000NE0007/dp/B075XNQYV1/ref=sr_1_3?ie=UTF8&amp;qid=1517108286&amp;sr=8-3&amp;keywords=14tb" xr:uid="{00000000-0004-0000-0000-000047000000}"/>
    <hyperlink ref="W81" r:id="rId73" display="https://smile.amazon.com/Seagate-IronWolf-7200RPM-256MB-3-5-Inch/dp/B07BDVBP1H/ref=sr_1_9?s=prime-day&amp;psr=PDAY&amp;ie=UTF8&amp;qid=1531855616&amp;sr=1-9&amp;keywords=seagate&amp;smid=ATVPDKIKX0DER" xr:uid="{00000000-0004-0000-0000-000048000000}"/>
    <hyperlink ref="W80" r:id="rId74" display="https://www.newegg.com/Product/Product.aspx?item=N82E16822179101" xr:uid="{00000000-0004-0000-0000-000049000000}"/>
    <hyperlink ref="W79" r:id="rId75" display="https://www.newegg.com/Product/Product.aspx?item=N82E16822179102" xr:uid="{00000000-0004-0000-0000-00004A000000}"/>
    <hyperlink ref="W77" r:id="rId76" display="https://www.newegg.com/Product/Product.aspx?item=N82E16822178997" xr:uid="{00000000-0004-0000-0000-00004B000000}"/>
    <hyperlink ref="W78" r:id="rId77" display="https://www.newegg.com/Product/Product.aspx?Item=N82E16822172025&amp;utm_medium=Email&amp;utm_source=EXPRESS112517&amp;cm_mmc=EMC-EXPRESS112517-_-EMC-112517-Index-_-DesktopInternalHardDrives-_-22172025-S1A3A&amp;ignorebbr=1" xr:uid="{00000000-0004-0000-0000-00004C000000}"/>
    <hyperlink ref="W76" r:id="rId78" display="https://smile.amazon.com/Seagate-IronWolf-3-5-Inch-Internal-ST8000VN0022/dp/B01M1BUBSO/ref=sr_1_cc_1?s=aps&amp;psr=PDAY&amp;ie=UTF8&amp;qid=1531855197&amp;sr=1-1-catcorr&amp;keywords=ironwolf" xr:uid="{00000000-0004-0000-0000-00004D000000}"/>
    <hyperlink ref="W75" r:id="rId79" display="https://smile.amazon.com/Seagate-IronWolf-3-5-Inch-Internal-ST6000VN0041/dp/B01LZDFMWQ/ref=sr_1_cc_2?s=aps&amp;psr=PDAY&amp;ie=UTF8&amp;qid=1531855197&amp;sr=1-2-catcorr&amp;keywords=ironwolf" xr:uid="{00000000-0004-0000-0000-00004E000000}"/>
    <hyperlink ref="W74" r:id="rId80" display="https://flash.newegg.com/Product/22-179-005?utm_source=NFEmail071918&amp;utm_medium=index&amp;utm_campaign=SaleBanner_B3B_22-179-005&amp;cm_mmc=EMC-NFEmail071918-_-SaleBanner_B3B_22-179-005-_-NA-_-22-179-005" xr:uid="{00000000-0004-0000-0000-00004F000000}"/>
    <hyperlink ref="W73" r:id="rId81" display="https://smile.amazon.com/Seagate-IronWolf-Cache-3-5-Inch-Internal/dp/B01LOOJBRI/ref=sr_1_1?s=prime-day&amp;psr=PDAY&amp;ie=UTF8&amp;qid=1531854865&amp;sr=1-1&amp;keywords=seagate+ironwolf&amp;smid=ATVPDKIKX0DER&amp;dpID=511zrEsez3L&amp;preST=_SY300_QL70_&amp;dpSrc=srch" xr:uid="{00000000-0004-0000-0000-000050000000}"/>
    <hyperlink ref="W71" r:id="rId82" display="https://www.newegg.com/Product/Product.aspx?item=N82E16822179008" xr:uid="{00000000-0004-0000-0000-000051000000}"/>
    <hyperlink ref="W17" r:id="rId83" display="https://www.newegg.com/Product/Product.aspx?item=N82E16822146076" xr:uid="{00000000-0004-0000-0000-000052000000}"/>
    <hyperlink ref="W15" r:id="rId84" display="https://www.newegg.com/Product/Product.aspx?item=N82E16822146071" xr:uid="{00000000-0004-0000-0000-000053000000}"/>
    <hyperlink ref="W14" r:id="rId85" display="https://www.newegg.com/Product/Product.aspx?item=N82E16822146067" xr:uid="{00000000-0004-0000-0000-000054000000}"/>
    <hyperlink ref="W16" r:id="rId86" display="https://www.newegg.com/Product/Product.aspx?Item=9SIA25V4XG7457&amp;cm_re=Ultrastar_7K6000_5tb-_-9SIA25V4XG7457-_-Product" xr:uid="{00000000-0004-0000-0000-000055000000}"/>
    <hyperlink ref="W132" r:id="rId87" display="https://www.newegg.com/Product/Product.aspx?Item=N82E16822235131&amp;cm_re=wd_gold_enterprise-_-22-235-131-_-Product" xr:uid="{00000000-0004-0000-0000-000056000000}"/>
    <hyperlink ref="W133" r:id="rId88" display="https://www.newegg.com/Product/Product.aspx?item=N82E16822232560" xr:uid="{00000000-0004-0000-0000-000057000000}"/>
    <hyperlink ref="W131" r:id="rId89" display="https://flash.newegg.com/Product/22-235-058?utm_source=NFEmail080318&amp;utm_medium=index&amp;utm_campaign=SaleBanner_B3C_22-235-058&amp;cm_mmc=EMC-NFEmail080318-_-SaleBanner_B3C_22-235-058-_-NA-_-22-235-058" xr:uid="{00000000-0004-0000-0000-000058000000}"/>
    <hyperlink ref="W130" r:id="rId90" display="https://www.newegg.com/Product/Product.aspx?Item=N82E16822235058&amp;utm_medium=Email&amp;utm_source=IGNEFL072418&amp;cm_mmc=EMC-IGNEFL072418-_-EMC-072418-Index-_-DesktopInternalHardDrives-_-22235058-S3A1B&amp;ignorebbr=1" xr:uid="{00000000-0004-0000-0000-000059000000}"/>
    <hyperlink ref="W129" r:id="rId91" display="https://www.amazon.com/Gold-Enterprise-Class-Hard-Drive/dp/B01AV1697A?SubscriptionId=AKIAILSHYYTFIVPWUY6Q&amp;tag=duckduckgo-ffsb-20&amp;linkCode=xm2&amp;camp=2025&amp;creative=165953&amp;creativeASIN=B01AV1697A&amp;th=1" xr:uid="{00000000-0004-0000-0000-00005A000000}"/>
    <hyperlink ref="W128" r:id="rId92" display="http://www.newegg.com/Product/Product.aspx?Item=1Z4-0002-002V0&amp;utm_medium=Email&amp;utm_source=IGNEFL112217&amp;cm_mmc=EMC-IGNEFL112217-_-EMC-112217-Index-_-DesktopInternalHardDrives-_-1Z4-0002-002V0-S1A1D&amp;ignorebbr=1" xr:uid="{00000000-0004-0000-0000-00005B000000}"/>
    <hyperlink ref="W127" r:id="rId93" display="https://www.newegg.com/Product/ComboBundleDetails.aspx?ItemList=Combo.3844518&amp;utm_medium=Email&amp;utm_source=GD072518&amp;cm_mmc=EMC-GD072518-_-landing-_-Item-_-1Z4-0002-002U9" xr:uid="{00000000-0004-0000-0000-00005C000000}"/>
    <hyperlink ref="W37" r:id="rId94" display="https://smile.amazon.com/Seagate-BarraCuda-Cache-Desktop-ST2000DM006/dp/B01IEKG402/ref=sr_1_cc_2?s=aps&amp;psr=PDAY&amp;ie=UTF8&amp;qid=1531855616&amp;sr=1-2-catcorr&amp;keywords=seagate" xr:uid="{00000000-0004-0000-0000-00005D000000}"/>
    <hyperlink ref="W4" r:id="rId95" display="https://www.newegg.com/Product/ComboBundleDetails.aspx?ItemList=Combo.3844444&amp;utm_medium=Email&amp;utm_source=GD072518&amp;cm_mmc=EMC-GD072518-_-landing-_-Item-_-22-146-118" xr:uid="{00000000-0004-0000-0000-00005E000000}"/>
    <hyperlink ref="W29" r:id="rId96" display="https://www.newegg.com/Product/Product.aspx?item=N82E16822178750" xr:uid="{00000000-0004-0000-0000-00005F000000}"/>
    <hyperlink ref="W30" r:id="rId97" display="https://www.amazon.com/Seagate-Archive-6GBps-128MB-ST8000AS0002/dp/B00XS423SC/ref=pd_sim_147_30?_encoding=UTF8&amp;psc=1&amp;refRID=FT0YK268QJANC6JV5911" xr:uid="{00000000-0004-0000-0000-000060000000}"/>
    <hyperlink ref="W28" r:id="rId98" display="https://www.newegg.com/Product/Product.aspx?item=9SIA4A04NB8762" xr:uid="{00000000-0004-0000-0000-000061000000}"/>
    <hyperlink ref="C28" r:id="rId99" xr:uid="{00000000-0004-0000-0000-000062000000}"/>
    <hyperlink ref="C29" r:id="rId100" xr:uid="{00000000-0004-0000-0000-000063000000}"/>
    <hyperlink ref="C30" r:id="rId101" xr:uid="{00000000-0004-0000-0000-000064000000}"/>
    <hyperlink ref="Q27" r:id="rId102" display="http://www.hgst.com/sites/default/files/resources/UltrastarHs14-SATA-OEMSpec-R1.0.pdf" xr:uid="{00000000-0004-0000-0000-000065000000}"/>
    <hyperlink ref="W6" r:id="rId103" display="https://www.newegg.com/Product/Product.aspx?Item=N82E16822146148&amp;ignorebbr=1" xr:uid="{00000000-0004-0000-0000-000066000000}"/>
    <hyperlink ref="W123" r:id="rId104" display="http://www.newegg.com/Product/Product.aspx?Item=N82E16822235013&amp;utm_medium=Email&amp;utm_source=IGNEFL122417&amp;cm_mmc=EMC-IGNEFL122417-_-EMC-122417-Index-_-DesktopInternalHardDrives-_-22235013-S2A2D&amp;ignorebbr=1" xr:uid="{00000000-0004-0000-0000-000067000000}"/>
    <hyperlink ref="W142" r:id="rId105" display="http://www.newegg.com/Product/Product.aspx?Item=N82E16822235063&amp;utm_medium=Email&amp;utm_source=IGNEFL121517&amp;cm_mmc=EMC-IGNEFL121517-_-EMC-121517-Index-_-DesktopInternalHardDrives-_-22235063-S1A3B&amp;ignorebbr=1" xr:uid="{00000000-0004-0000-0000-000068000000}"/>
    <hyperlink ref="W141" r:id="rId106" display="https://www.newegg.com/Product/Product.aspx?Item=22-236-737&amp;utm_medium=Email&amp;utm_source=GD012918&amp;cm_mmc=EMC-GD012918-_-landing-_-Item-_-22-236-737" xr:uid="{00000000-0004-0000-0000-000069000000}"/>
    <hyperlink ref="C9" r:id="rId107" display="Ultrastar 7K6" xr:uid="{00000000-0004-0000-0000-00006A000000}"/>
    <hyperlink ref="C10" r:id="rId108" display="Ultrastar 7K6" xr:uid="{00000000-0004-0000-0000-00006B000000}"/>
    <hyperlink ref="C9:C10" r:id="rId109" display="Ultrastar 7K200" xr:uid="{00000000-0004-0000-0000-00006C000000}"/>
    <hyperlink ref="W24" r:id="rId110" display="https://www.cdw.com/shop/products/HGST-Ultrastar-He8-HUH728080ALE600-hard-drive-8-TB-SATA-6Gb-s/3546681.aspx?pfm=srh" xr:uid="{00000000-0004-0000-0000-00006D000000}"/>
    <hyperlink ref="W25" r:id="rId111" display="https://www.newegg.com/Product/Product.aspx?Item=9SIA9945X11461&amp;cm_re=ultrastar_he12-_-9SIA9945X11461-_-Product" xr:uid="{00000000-0004-0000-0000-00006E000000}"/>
    <hyperlink ref="W5" r:id="rId112" display="https://www.newegg.com/Product/Product.aspx?Item=N82E16822146142&amp;cm_mmc=EMC-IGNEFL072018-_-EMC-072018-Index-_-DesktopInternalHardDrives-_-22146142-S1A2D&amp;ignorebbr=1" xr:uid="{00000000-0004-0000-0000-00006F000000}"/>
    <hyperlink ref="W32" r:id="rId113" display="https://www.newegg.com/Product/Product.aspx?Item=N82E16822179107&amp;utm_medium=Email&amp;utm_source=IGNEFL112717&amp;cm_mmc=EMC-IGNEFL112717-_-EMC-112717-Index-_-LaptopInternalHardDrives-_-22179107-S1A1C&amp;ignorebbr=1" xr:uid="{00000000-0004-0000-0000-000070000000}"/>
    <hyperlink ref="W39" r:id="rId114" display="https://www.newegg.com/Product/Product.aspx?Item=N82E16822179009&amp;utm_medium=Email&amp;utm_source=IGNEFL112717&amp;cm_mmc=EMC-IGNEFL112717-_-EMC-112717-Index-_-DesktopInternalHardDrives-_-22179009-S1A2D&amp;ignorebbr=1" xr:uid="{00000000-0004-0000-0000-000071000000}"/>
    <hyperlink ref="W26" r:id="rId115" display="https://www.cdw.com/shop/products/HGST-Ultrastar-HE12-HUH721212ALE600-hard-drive-12-TB-SATA-6Gb-s/4706469.aspx?pfm=srh" xr:uid="{00000000-0004-0000-0000-000072000000}"/>
    <hyperlink ref="W44" r:id="rId116" display="https://smile.amazon.com/Seagate-BarraCuda-256MB-3-5-Inch-Internal/dp/B01LOOJBH8/ref=sr_1_6?s=prime-day&amp;psr=PDAY&amp;ie=UTF8&amp;qid=1531855616&amp;sr=1-6&amp;keywords=seagate&amp;smid=ATVPDKIKX0DER" xr:uid="{00000000-0004-0000-0000-000073000000}"/>
    <hyperlink ref="W45" r:id="rId117" display="https://www.newegg.com/Product/Product.aspx?Item=22-179-270&amp;Tpk=22-179-270" xr:uid="{00000000-0004-0000-0000-000074000000}"/>
    <hyperlink ref="W46" r:id="rId118" display="https://smile.amazon.com/Seagate-BarraCuda-3-5-Inch-Internal-ST10000DM0004/dp/B01IA9H22Q/ref=sr_1_cc_9?s=aps&amp;psr=PDAY&amp;ie=UTF8&amp;qid=1531855197&amp;sr=1-9-catcorr&amp;keywords=ironwolf" xr:uid="{00000000-0004-0000-0000-000075000000}"/>
    <hyperlink ref="W47" r:id="rId119" display="https://www.newegg.com/Product/Product.aspx?Item=22-172-024&amp;Tpk=22-172-024" xr:uid="{00000000-0004-0000-0000-000076000000}"/>
    <hyperlink ref="C45:C47" r:id="rId120" display="BarraCuda Pro" xr:uid="{00000000-0004-0000-0000-000077000000}"/>
    <hyperlink ref="C42:C44" r:id="rId121" display="BarraCuda Pro" xr:uid="{00000000-0004-0000-0000-000078000000}"/>
    <hyperlink ref="W36" r:id="rId122" display="http://www.newegg.com/Product/Product.aspx?Item=N82E16822179010&amp;utm_medium=Email&amp;utm_source=IGNEFL113017&amp;cm_mmc=EMC-IGNEFL113017-_-EMC-113017-Index-_-DesktopInternalHardDrives-_-22179010-S2A1B&amp;ignorebbr=1" xr:uid="{00000000-0004-0000-0000-000079000000}"/>
    <hyperlink ref="W148" r:id="rId123" display="http://www.newegg.com/Product/Product.aspx?Item=N82E16822235120&amp;utm_medium=Email&amp;utm_source=IGNEFL120117&amp;cm_mmc=EMC-IGNEFL120117-_-EMC-120117-Index-_-DesktopInternalHardDrives-_-22235120-S1A1B&amp;ignorebbr=1" xr:uid="{00000000-0004-0000-0000-00007A000000}"/>
    <hyperlink ref="W136" r:id="rId124" display="https://secure.neweggbusiness.com/new/shopping/shoppingcart.aspx" xr:uid="{00000000-0004-0000-0000-00007B000000}"/>
    <hyperlink ref="W70" r:id="rId125" display="https://smile.amazon.com/Seagate-FireCuda-Gaming-Solid-Hybrid/dp/B01IEKG2HM/ref=sr_1_3?s=prime-day&amp;psr=PDAY&amp;ie=UTF8&amp;qid=1531854865&amp;sr=1-3&amp;keywords=seagate+ironwolf&amp;smid=ATVPDKIKX0DER&amp;dpID=51Q5JsfaKQL&amp;preST=_SY300_QL70_&amp;dpSrc=srch" xr:uid="{00000000-0004-0000-0000-00007C000000}"/>
    <hyperlink ref="W115" r:id="rId126" display="https://www.newegg.com/Product/Product.aspx?Item=N82E16822235089&amp;utm_medium=Email&amp;utm_source=EXPRESS122317&amp;cm_mmc=EMC-EXPRESS122317-_-EMC-122317-Index-_-LaptopInternalHardDrives-_-22235089-S0F&amp;ignorebbr=1" xr:uid="{00000000-0004-0000-0000-00007D000000}"/>
    <hyperlink ref="W137" r:id="rId127" display="https://www.newegg.com/Product/ComboBundleDetails.aspx?ItemList=Combo.3842359&amp;utm_medium=Email&amp;utm_source=IGNEFL071218&amp;cm_mmc=EMC-IGNEFL071218-_-EMC-071218-Index-_-Combo-_-Combo3842359-S1A1A&amp;ignorebbr=1" xr:uid="{00000000-0004-0000-0000-00007E000000}"/>
    <hyperlink ref="W125" r:id="rId128" display="https://www.newegg.com/Product/Product.aspx?Item=N82E16822235011&amp;ignorebbr=1" xr:uid="{00000000-0004-0000-0000-00007F000000}"/>
    <hyperlink ref="W111" r:id="rId129" display="https://www.newegg.com/Product/Product.aspx?Item=N82E16822149629&amp;ignorebbr=1" xr:uid="{00000000-0004-0000-0000-000080000000}"/>
    <hyperlink ref="W62" r:id="rId130" display="https://www.newegg.com/Product/Product.aspx?item=1Z4-002P-00139" xr:uid="{00000000-0004-0000-0000-000081000000}"/>
    <hyperlink ref="W63" r:id="rId131" display="https://www.newegg.com/Product/Product.aspx?item=1Z4-002P-000N0" xr:uid="{00000000-0004-0000-0000-000082000000}"/>
    <hyperlink ref="W61" r:id="rId132" display="https://www.newegg.com/Product/Product.aspx?item=1Z4-002P-00141" xr:uid="{00000000-0004-0000-0000-000083000000}"/>
    <hyperlink ref="W59" r:id="rId133" display="https://www.newegg.com/Product/Product.aspx?item=1Z4-002P-00138" xr:uid="{00000000-0004-0000-0000-000084000000}"/>
    <hyperlink ref="W43" r:id="rId134" display="https://www.newegg.com/Product/Product.aspx?Item=22-179-129&amp;Tpk=22-179-129" xr:uid="{00000000-0004-0000-0000-000085000000}"/>
    <hyperlink ref="W87" r:id="rId135" display="http://www.newegg.com/Product/Product.aspx?Item=N82E16822149407&amp;utm_medium=Email&amp;utm_source=IGNEFL012518&amp;cm_mmc=EMC-IGNEFL012518-_-EMC-012518-Index-_-DesktopInternalHardDrives-_-22149407-S2A1C&amp;ignorebbr=1" xr:uid="{00000000-0004-0000-0000-000086000000}"/>
    <hyperlink ref="W86" r:id="rId136" display="https://www.newegg.com/Product/Product.aspx?item=N82E16822149382" xr:uid="{00000000-0004-0000-0000-000087000000}"/>
    <hyperlink ref="W88" r:id="rId137" display="https://www.newegg.com/Product/Product.aspx?item=N82E16822149408" xr:uid="{00000000-0004-0000-0000-000088000000}"/>
    <hyperlink ref="C94" r:id="rId138" xr:uid="{00000000-0004-0000-0000-000089000000}"/>
    <hyperlink ref="C94:C95" r:id="rId139" display="Enterprise Performance" xr:uid="{00000000-0004-0000-0000-00008A000000}"/>
    <hyperlink ref="C97" r:id="rId140" xr:uid="{00000000-0004-0000-0000-00008B000000}"/>
    <hyperlink ref="C92" r:id="rId141" xr:uid="{00000000-0004-0000-0000-00008C000000}"/>
    <hyperlink ref="C93" r:id="rId142" xr:uid="{00000000-0004-0000-0000-00008D000000}"/>
    <hyperlink ref="AE92" r:id="rId143" xr:uid="{00000000-0004-0000-0000-00008E000000}"/>
    <hyperlink ref="AE93" r:id="rId144" xr:uid="{00000000-0004-0000-0000-00008F000000}"/>
    <hyperlink ref="W95" r:id="rId145" display="https://www.newegg.com/Product/Product.aspx?Item=9SIA5EM5NM4192" xr:uid="{00000000-0004-0000-0000-000090000000}"/>
    <hyperlink ref="W38" r:id="rId146" display="https://www.newegg.com/Product/Product.aspx?Item=N82E16822178994&amp;ignorebbr=1" xr:uid="{00000000-0004-0000-0000-000091000000}"/>
    <hyperlink ref="W90" r:id="rId147" display="https://www.newegg.com/Product/Product.aspx?Item=1Z4-002P-000N0&amp;ignorebbr=1" xr:uid="{00000000-0004-0000-0000-000092000000}"/>
    <hyperlink ref="W66" r:id="rId148" display="https://www.newegg.com/Product/Product.aspx?Item=9SIA4M56WV0609&amp;cm_re=seagate_x12-_-9SIA4M56WV0609-_-Product" xr:uid="{00000000-0004-0000-0000-000093000000}"/>
    <hyperlink ref="W143" r:id="rId149" display="https://www.neweggbusiness.com/product/product.aspx?item=9b-22-231-546&amp;tpk=9b22-231-546&amp;cm_mmc=emcb-ignefl121417-_-decwd-_-121417-_-122017&amp;utm_medium=email&amp;utm_source=int-mkt&amp;utm_campaign=decwd_121417&amp;et_cid=40111&amp;et_rid=9494051&amp;et_p1=" xr:uid="{00000000-0004-0000-0000-000094000000}"/>
    <hyperlink ref="W42" r:id="rId150" display="https://www.newegg.com/Product/Product.aspx?Item=22-179-130&amp;Tpk=22-179-130" xr:uid="{00000000-0004-0000-0000-000095000000}"/>
    <hyperlink ref="W147" r:id="rId151" display="http://www.newegg.com/Product/Product.aspx?Item=N82E16822235065&amp;utm_medium=Email&amp;utm_source=IGNEFL121517&amp;cm_mmc=EMC-IGNEFL121517-_-EMC-121517-Index-_-DesktopInternalHardDrives-_-22235065-S1A3A&amp;ignorebbr=1" xr:uid="{00000000-0004-0000-0000-000096000000}"/>
    <hyperlink ref="W106" r:id="rId152" display="https://www.newegg.com/Product/Product.aspx?Item=22-149-631&amp;Tpk=22-149-631" xr:uid="{00000000-0004-0000-0000-000097000000}"/>
    <hyperlink ref="W107" r:id="rId153" display="https://www.newegg.com/Product/Product.aspx?Item=22-149-632&amp;Tpk=22-149-632" xr:uid="{00000000-0004-0000-0000-000098000000}"/>
    <hyperlink ref="W108" r:id="rId154" display="https://www.newegg.com/Product/Product.aspx?Item=22-149-633&amp;Tpk=22-149-633" xr:uid="{00000000-0004-0000-0000-000099000000}"/>
    <hyperlink ref="C96" r:id="rId155" xr:uid="{00000000-0004-0000-0000-00009A000000}"/>
    <hyperlink ref="W10" r:id="rId156" display="https://www.ebay.com/itm/HGST-Deskstar-7K2000-HDS722020ALA330-2TB-SATA-3-5-Internal-Hard-Drive/201826555832?epid=170151221&amp;hash=item2efdccd7b8:m:mvS_lQfe070JKO8PGvJJ9vw" xr:uid="{00000000-0004-0000-0000-00009B000000}"/>
    <hyperlink ref="W9" r:id="rId157" display="https://www.ebay.com/itm/Hitachi-Ultrastar-HDD-1-0TB-7200RPM-32MB-SATA2-A7K2000-3-5-Desktop-Hard-Drive/261814211120?hash=item3cf557d230:g:K7kAAOSw34FVBxdH" xr:uid="{00000000-0004-0000-0000-00009C000000}"/>
    <hyperlink ref="W34" r:id="rId158" display="https://www.newegg.com/Product/Product.aspx?Item=22-179-009&amp;utm_medium=Email&amp;utm_source=GD010318&amp;cm_mmc=EMC-GD010318-_-landing-_-Item-_-22-179-009" xr:uid="{00000000-0004-0000-0000-00009D000000}"/>
    <hyperlink ref="W144" r:id="rId159" display="https://www.newegg.com/Product/Product.aspx?Item=1Z4-0002-002R5&amp;cm_re=wd_red_nas_2.5-_-1Z4-0002-002R5-_-Product" xr:uid="{00000000-0004-0000-0000-00009E000000}"/>
    <hyperlink ref="W124" r:id="rId160" display="http://www.newegg.com/Product/Product.aspx?Item=N82E16822235012&amp;utm_medium=Email&amp;utm_source=IGNEFL010518&amp;cm_mmc=EMC-IGNEFL010518-_-EMC-010518-Index-_-DesktopInternalHardDrives-_-22235012-S1A5B&amp;ignorebbr=1" xr:uid="{00000000-0004-0000-0000-00009F000000}"/>
    <hyperlink ref="C13" r:id="rId161" xr:uid="{00000000-0004-0000-0000-0000A0000000}"/>
    <hyperlink ref="W13" r:id="rId162" display="https://smile.amazon.com/HGST-Ultrastar-3-5-Inch-Enterprise-0F14683/dp/B007VL8WU6/ref=sr_1_8?s=prime-day&amp;ie=UTF8&amp;qid=1531855963&amp;sr=8-8&amp;keywords=hgst+deskstar" xr:uid="{00000000-0004-0000-0000-0000A1000000}"/>
    <hyperlink ref="W48" r:id="rId163" display="https://www.newegg.com/Product/Product.aspx?Item=9SIA5AD5WA7762&amp;utm_medium=Email&amp;utm_source=IGNEFL010418&amp;cm_mmc=EMC-IGNEFL010418-_-EMC-010418-Index-_-DesktopInternalHardDrives-_-9SIA5AD5WA7762-S1A6B&amp;ignorebbr=1" xr:uid="{00000000-0004-0000-0000-0000A2000000}"/>
    <hyperlink ref="C48" r:id="rId164" xr:uid="{00000000-0004-0000-0000-0000A3000000}"/>
    <hyperlink ref="C181" r:id="rId165" display="1 dB = .1 B (bel)" xr:uid="{00000000-0004-0000-0000-0000A4000000}"/>
    <hyperlink ref="W41" r:id="rId166" display="https://smile.amazon.com/Seagate-Drives-Barracuda-3-5-Inch-Internal/dp/B075WYBQXJ/ref=sr_1_2?s=prime-day&amp;psr=PDAY&amp;ie=UTF8&amp;qid=1531854865&amp;sr=1-2&amp;keywords=seagate+ironwolf&amp;smid=ATVPDKIKX0DER&amp;dpID=51eCqVfTTNL&amp;preST=_SY300_QL70_&amp;dpSrc=srch" xr:uid="{00000000-0004-0000-0000-0000A5000000}"/>
    <hyperlink ref="W35" r:id="rId167" display="https://www.newegg.com/Product/Product.aspx?Item=N82E16822179104" xr:uid="{00000000-0004-0000-0000-0000A6000000}"/>
    <hyperlink ref="W7" r:id="rId168" display="https://www.newegg.com/Product/Product.aspx?Item=N82E16822145584" xr:uid="{00000000-0004-0000-0000-0000A7000000}"/>
    <hyperlink ref="C19" r:id="rId169" display="Ultrastar C10K1200" xr:uid="{00000000-0004-0000-0000-0000A8000000}"/>
    <hyperlink ref="W19" r:id="rId170" display="https://www.newegg.com/Product/Product.aspx?Item=9SIA99462P4004" xr:uid="{00000000-0004-0000-0000-0000A9000000}"/>
    <hyperlink ref="C120:C121" r:id="rId171" display="Blue" xr:uid="{00000000-0004-0000-0000-0000AA000000}"/>
    <hyperlink ref="W120" r:id="rId172" display="https://www.newegg.com/Product/Product.aspx?item=N82E16822236496" xr:uid="{00000000-0004-0000-0000-0000AB000000}"/>
    <hyperlink ref="W121" r:id="rId173" display="https://www.newegg.com/Product/Product.aspx?item=1B0-0020-000G1" xr:uid="{00000000-0004-0000-0000-0000AC000000}"/>
    <hyperlink ref="W31" r:id="rId174" display="https://www.newegg.com/Product/Product.aspx?Item=N82E16822179108" xr:uid="{00000000-0004-0000-0000-0000AD000000}"/>
    <hyperlink ref="C67:C68" r:id="rId175" location="2-5-inch-specs" display="FireCuda SSHD" xr:uid="{00000000-0004-0000-0000-0000AE000000}"/>
    <hyperlink ref="W68" r:id="rId176" display="http://www.newegg.com/Product/Product.aspx?Item=N82E16822179110&amp;utm_medium=Email&amp;utm_source=IGNEFL121917&amp;cm_mmc=EMC-IGNEFL121917-_-EMC-121917-Index-_-LaptopInternalHardDrives-_-22179110-S2A3A&amp;ignorebbr=1" xr:uid="{00000000-0004-0000-0000-0000AF000000}"/>
    <hyperlink ref="W67" r:id="rId177" display="https://smile.amazon.com/Seagate-Firecuda-2-5-Inch-Internal-ST1000LX015/dp/B01LWRTRZU/ref=sr_1_cc_8?s=aps&amp;psr=PDAY&amp;ie=UTF8&amp;qid=1531855616&amp;sr=1-8-catcorr&amp;keywords=seagate" xr:uid="{00000000-0004-0000-0000-0000B0000000}"/>
    <hyperlink ref="W33" r:id="rId178" display="https://www.newegg.com/Product/Product.aspx?Item=N82E16822179106" xr:uid="{00000000-0004-0000-0000-0000B1000000}"/>
    <hyperlink ref="W54" r:id="rId179" display="https://www.newegg.com/Product/Product.aspx?Item=9SIA5AD6KR4743" xr:uid="{00000000-0004-0000-0000-0000B2000000}"/>
    <hyperlink ref="W57" r:id="rId180" display="https://www.newegg.com/Product/Product.aspx?Item=9SIAAEE6CZ1509" xr:uid="{00000000-0004-0000-0000-0000B3000000}"/>
    <hyperlink ref="W56" r:id="rId181" display="https://www.newegg.com/Product/Product.aspx?Item=9SIA5AD6KR4743" xr:uid="{00000000-0004-0000-0000-0000B4000000}"/>
    <hyperlink ref="W58" r:id="rId182" display="https://www.newegg.com/Product/Product.aspx?item=1Z4-002P-00142" xr:uid="{00000000-0004-0000-0000-0000B5000000}"/>
    <hyperlink ref="C49" r:id="rId183" xr:uid="{00000000-0004-0000-0000-0000B6000000}"/>
    <hyperlink ref="W49" r:id="rId184" display="https://www.newegg.com/Product/Product.aspx?Item=9SIAAEE6NW9609" xr:uid="{00000000-0004-0000-0000-0000B7000000}"/>
    <hyperlink ref="W100" r:id="rId185" display="https://www.newegg.com/Product/Product.aspx?Item=N82E16822149667&amp;cm_re=2.5%22_toshiba-_-22-149-667-_-Product" xr:uid="{00000000-0004-0000-0000-0000B8000000}"/>
    <hyperlink ref="C100" r:id="rId186" xr:uid="{00000000-0004-0000-0000-0000B9000000}"/>
    <hyperlink ref="C12" r:id="rId187" xr:uid="{00000000-0004-0000-0000-0000BA000000}"/>
    <hyperlink ref="C11" r:id="rId188" xr:uid="{00000000-0004-0000-0000-0000BB000000}"/>
    <hyperlink ref="W69" r:id="rId189" display="https://www.newegg.com/Product/Product.aspx?Item=N82E16822178995&amp;utm_medium=Email&amp;utm_source=IGNEFL011618C&amp;cm_mmc=EMC-IGNEFL011618C-_-EMC-011618-Latest-_-DesktopInternalHardDrives-_-22178995-S1A1C&amp;ignorebbr=1" xr:uid="{00000000-0004-0000-0000-0000BC000000}"/>
    <hyperlink ref="W50" r:id="rId190" display="https://www.newegg.com/Product/Product.aspx?Item=9SIA5EM6HG5028&amp;cm_re=segate_2.5%22_disk_drive-_-1B4-00VK-00017-_-Product" xr:uid="{00000000-0004-0000-0000-0000BD000000}"/>
    <hyperlink ref="W51" r:id="rId191" display="https://www.newegg.com/Product/Product.aspx?Item=9SIA6ZP6P20888&amp;cm_re=segate_2.5%22_disk_drive-_-1Z4-002P-008Z8-_-Product" xr:uid="{00000000-0004-0000-0000-0000BE000000}"/>
    <hyperlink ref="W12" r:id="rId192" display="https://www.cdw.com/shop/products/HGST-Ultrastar-7K4000-HUS724030ALS640-hard-drive-3-TB-SAS-6Gb-s/3341368.aspx" xr:uid="{00000000-0004-0000-0000-0000BF000000}"/>
    <hyperlink ref="C24" r:id="rId193" xr:uid="{00000000-0004-0000-0000-0000C0000000}"/>
    <hyperlink ref="W3" r:id="rId194" display="https://www.newegg.com/Product/ComboBundleDetails.aspx?ItemList=Combo.3836695&amp;utm_medium=Email&amp;utm_source=IGNEFL062918&amp;cm_mmc=EMC-IGNEFL062918-_-EMC-062918-Index-_-Combo-_-Blitz-Combo3836695-S0&amp;ignorebbr=1" xr:uid="{00000000-0004-0000-0000-0000C1000000}"/>
    <hyperlink ref="W149" r:id="rId195" display="https://www.newegg.com/Product/Product.aspx?item=N82E16822231547" xr:uid="{00000000-0004-0000-0000-0000C2000000}"/>
    <hyperlink ref="W146" r:id="rId196" display="https://www.newegg.com/Product/Product.aspx?item=N82E16822235064" xr:uid="{00000000-0004-0000-0000-0000C3000000}"/>
    <hyperlink ref="W11" r:id="rId197" display="https://www.newegg.com/Product/Product.aspx?Item=N82E16822145620" xr:uid="{00000000-0004-0000-0000-0000C4000000}"/>
    <hyperlink ref="W27" r:id="rId198" display="http://optocrypto.com/2017/10/04/western-digital-launches-new-hgst-ultrastar-hs14-14tb-hard-drive/" xr:uid="{00000000-0004-0000-0000-0000C5000000}"/>
    <hyperlink ref="W52" r:id="rId199" display="http://www.sears.com/seagate-st900mp0146-900gb-2.5-sas-15k-rpm/p-SPM8883839723" xr:uid="{00000000-0004-0000-0000-0000C6000000}"/>
    <hyperlink ref="W89" r:id="rId200" display="https://www.ebay.com/itm/NEW-HGST-HDD-6TB-SAS-12GB-S-ULTRASTAR-7K6000-0F22919-0F22810-WD-WDC-GOLD-RE-0F/292311517557?epid=595133558&amp;hash=item440f1fc975:g:XiEAAOSw-olZ9tZu" xr:uid="{00000000-0004-0000-0000-0000C7000000}"/>
    <hyperlink ref="W98" r:id="rId201" display="https://www.newegg.com/Product/Product.aspx?Item=9SIA6CC6KC0450" xr:uid="{00000000-0004-0000-0000-0000C8000000}"/>
    <hyperlink ref="W97" r:id="rId202" display="https://www.newegg.com/Product/Product.aspx?Item=9SIA5EM5NM4360" xr:uid="{00000000-0004-0000-0000-0000C9000000}"/>
    <hyperlink ref="W126" r:id="rId203" display="https://www.newegg.com/Product/Product.aspx?Item=9SIA67S3GU1425&amp;cm_re=WD_blue_6tb-_-22-235-009-_-Product" xr:uid="{00000000-0004-0000-0000-0000CA000000}"/>
    <hyperlink ref="W145" r:id="rId204" display="https://www.newegg.com/Product/Product.aspx?Item=9SIAAEE6P41222&amp;cm_re=wd_pro_3tb-_-22-236-740-_-Product" xr:uid="{00000000-0004-0000-0000-0000CB000000}"/>
    <hyperlink ref="W140" r:id="rId205" display="https://www.newegg.com/Product/Product.aspx?Item=9SIA67S3GU1457&amp;cm_re=WD_red_nas_5tb-_-22-236-738-_-Product" xr:uid="{00000000-0004-0000-0000-0000CC000000}"/>
    <hyperlink ref="W109" r:id="rId206" display="https://www.newegg.com/Product/Product.aspx?Item=N82E16822149644" xr:uid="{00000000-0004-0000-0000-0000CD000000}"/>
    <hyperlink ref="C60" r:id="rId207" xr:uid="{00000000-0004-0000-0000-0000CE000000}"/>
    <hyperlink ref="W60" r:id="rId208" display="https://www.newegg.com/Product/Product.aspx?item=1Z4-002P-00148" xr:uid="{00000000-0004-0000-0000-0000CF000000}"/>
    <hyperlink ref="W40" r:id="rId209" display="https://www.newegg.com/Product/Product.aspx?item=9SIA2F86R49684" xr:uid="{00000000-0004-0000-0000-0000D0000000}"/>
    <hyperlink ref="W85" r:id="rId210" display="https://www.newegg.com/Product/Product.aspx?Item=9SIA24G1S88436&amp;cm_re=terascale-_-22-178-401-_-Product" xr:uid="{00000000-0004-0000-0000-0000D1000000}"/>
    <hyperlink ref="W18" r:id="rId211" display="https://www.newegg.com/Product/Product.aspx?Item=2RC-00D4-000H4&amp;ignorebbr=1&amp;cm_re=ultrastar_7k6000-_-2RC-00D4-000H4-_-Product" xr:uid="{00000000-0004-0000-0000-0000D2000000}"/>
    <hyperlink ref="W65" r:id="rId212" display="https://www.newegg.com/Product/Product.aspx?item=N82E16822178941" xr:uid="{00000000-0004-0000-0000-0000D3000000}"/>
    <hyperlink ref="W64" r:id="rId213" display="https://www.cdw.com/product/Seagate-Enterprise-Capacity-3.5-HDD-ST8000NM0055-hard-drive-8-TB-SATA/3851249?pfm=srh" xr:uid="{00000000-0004-0000-0000-0000D4000000}"/>
    <hyperlink ref="W99" r:id="rId214" display="https://www.newegg.com/Product/Product.aspx?Item=1Z4-000B-001U4&amp;cm_re=2.5%22_toshiba-_-1Z4-000B-001U4-_-Product" xr:uid="{00000000-0004-0000-0000-0000D5000000}"/>
    <hyperlink ref="C105" r:id="rId215" xr:uid="{00000000-0004-0000-0000-0000D6000000}"/>
    <hyperlink ref="C101" r:id="rId216" xr:uid="{00000000-0004-0000-0000-0000D7000000}"/>
    <hyperlink ref="C112" r:id="rId217" xr:uid="{00000000-0004-0000-0000-0000D8000000}"/>
    <hyperlink ref="W112" r:id="rId218" display="http://www.newegg.com/Product/Product.aspx?Item=N82E16822149698&amp;utm_medium=Email&amp;utm_source=IGNEFL010418&amp;cm_mmc=EMC-IGNEFL010418-_-EMC-010418-Index-_-DesktopInternalHardDrives-_-22149698-S1A5A&amp;ignorebbr=1" xr:uid="{00000000-0004-0000-0000-0000D9000000}"/>
    <hyperlink ref="W94" r:id="rId219" display="https://www.newegg.com/Product/Product.aspx?Item=9SIA5EM5NM4142" xr:uid="{00000000-0004-0000-0000-0000DA000000}"/>
    <hyperlink ref="W82" r:id="rId220" display="https://www.ebay.com/itm/NEW-SEAGATE-NAS-HDD-8TB-7200RPM-ST8000NC0002-SATA-WD-RED-IRONWOLF-PRO-TERASCALE/292239419204?epid=2110441349&amp;hash=item440ad3a744:g:hgoAAOSw81dZrN2K" xr:uid="{00000000-0004-0000-0000-0000DB000000}"/>
    <hyperlink ref="W113" r:id="rId221" display="https://www.newegg.com/Product/Product.aspx?Item=9SIA0ZX7WE5979&amp;cm_re=toshiba_x300-_-22-149-728-_-Product" xr:uid="{00000000-0004-0000-0000-0000DC000000}"/>
    <hyperlink ref="C99" r:id="rId222" xr:uid="{00000000-0004-0000-0000-0000DD000000}"/>
    <hyperlink ref="W101" r:id="rId223" display="https://www.newegg.com/Product/Product.aspx?Item=9SIA0ZX7U05105&amp;cm_re=toshiba_l200-_-22-149-727-_-Product" xr:uid="{00000000-0004-0000-0000-0000DE000000}"/>
    <hyperlink ref="W91" r:id="rId224" display="http://www.memory4less.com/10tb-hard-disk-drives?filter=brand:toshiba;&amp;q=10tb-hard-disk-drives&amp;sz=20" xr:uid="{00000000-0004-0000-0000-0000DF000000}"/>
  </hyperlinks>
  <printOptions headings="1"/>
  <pageMargins left="0.3" right="0.3" top="0.75" bottom="0.75" header="0.3" footer="0.3"/>
  <pageSetup scale="42" fitToHeight="4" orientation="landscape" r:id="rId225"/>
  <headerFooter>
    <oddHeader>&amp;CDisk Price
Performance Analysis</oddHeader>
    <oddFooter>&amp;L&amp;F&amp;C&amp;P / &amp;N&amp;R&amp;D &amp;T</oddFooter>
  </headerFooter>
  <cellWatches>
    <cellWatch r="AA3"/>
  </cellWatches>
  <ignoredErrors>
    <ignoredError sqref="Q77 Q146 Q150:Q153" formula="1"/>
    <ignoredError sqref="Y5" calculatedColumn="1"/>
  </ignoredErrors>
  <drawing r:id="rId226"/>
  <legacyDrawing r:id="rId227"/>
  <tableParts count="1">
    <tablePart r:id="rId22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112"/>
  <sheetViews>
    <sheetView topLeftCell="A76" zoomScaleNormal="100" workbookViewId="0">
      <selection activeCell="A86" sqref="A86"/>
    </sheetView>
  </sheetViews>
  <sheetFormatPr defaultRowHeight="15" x14ac:dyDescent="0.25"/>
  <cols>
    <col min="1" max="1" width="15.42578125" bestFit="1" customWidth="1"/>
    <col min="2" max="2" width="19.5703125" bestFit="1" customWidth="1"/>
    <col min="3" max="3" width="11.28515625" customWidth="1"/>
    <col min="4" max="4" width="13.140625" customWidth="1"/>
    <col min="5" max="5" width="17.42578125" customWidth="1"/>
    <col min="6" max="6" width="13.85546875" customWidth="1"/>
    <col min="7" max="7" width="9" customWidth="1"/>
    <col min="8" max="8" width="8" customWidth="1"/>
    <col min="9" max="9" width="10" customWidth="1"/>
    <col min="10" max="10" width="7" customWidth="1"/>
    <col min="11" max="11" width="11" customWidth="1"/>
    <col min="12" max="12" width="10" customWidth="1"/>
    <col min="13" max="13" width="8" customWidth="1"/>
    <col min="14" max="16" width="10" bestFit="1" customWidth="1"/>
    <col min="17" max="18" width="11" bestFit="1" customWidth="1"/>
    <col min="19" max="19" width="10" bestFit="1" customWidth="1"/>
    <col min="20" max="20" width="9" customWidth="1"/>
    <col min="21" max="21" width="11" bestFit="1" customWidth="1"/>
    <col min="22" max="22" width="10" bestFit="1" customWidth="1"/>
    <col min="23" max="24" width="11" bestFit="1" customWidth="1"/>
    <col min="25" max="26" width="10" bestFit="1" customWidth="1"/>
    <col min="27" max="27" width="9" customWidth="1"/>
    <col min="28" max="29" width="10" bestFit="1" customWidth="1"/>
    <col min="30" max="30" width="11" bestFit="1" customWidth="1"/>
    <col min="31" max="31" width="7" customWidth="1"/>
    <col min="32" max="32" width="9" customWidth="1"/>
    <col min="33" max="33" width="10" bestFit="1" customWidth="1"/>
    <col min="34" max="34" width="11" bestFit="1" customWidth="1"/>
    <col min="35" max="36" width="10" bestFit="1" customWidth="1"/>
    <col min="37" max="37" width="9" customWidth="1"/>
    <col min="38" max="40" width="10" bestFit="1" customWidth="1"/>
    <col min="41" max="41" width="8" customWidth="1"/>
    <col min="42" max="44" width="10" bestFit="1" customWidth="1"/>
    <col min="45" max="45" width="9" customWidth="1"/>
    <col min="46" max="56" width="10" bestFit="1" customWidth="1"/>
    <col min="57" max="57" width="9" customWidth="1"/>
    <col min="58" max="59" width="10" bestFit="1" customWidth="1"/>
    <col min="60" max="60" width="9" customWidth="1"/>
    <col min="61" max="61" width="7" customWidth="1"/>
    <col min="62" max="64" width="10" bestFit="1" customWidth="1"/>
    <col min="65" max="65" width="11" bestFit="1" customWidth="1"/>
    <col min="66" max="67" width="10" bestFit="1" customWidth="1"/>
    <col min="68" max="68" width="9" customWidth="1"/>
    <col min="69" max="71" width="10" bestFit="1" customWidth="1"/>
    <col min="72" max="72" width="7.28515625" customWidth="1"/>
    <col min="73" max="73" width="11.28515625" bestFit="1" customWidth="1"/>
  </cols>
  <sheetData>
    <row r="2" spans="1:4" x14ac:dyDescent="0.25">
      <c r="A2" s="71" t="s">
        <v>48</v>
      </c>
      <c r="B2" s="72" t="s">
        <v>49</v>
      </c>
    </row>
    <row r="3" spans="1:4" x14ac:dyDescent="0.25">
      <c r="A3" s="71" t="s">
        <v>85</v>
      </c>
      <c r="B3" s="90">
        <v>3.5</v>
      </c>
    </row>
    <row r="4" spans="1:4" x14ac:dyDescent="0.25">
      <c r="A4" s="222" t="s">
        <v>82</v>
      </c>
      <c r="B4" s="223"/>
    </row>
    <row r="5" spans="1:4" x14ac:dyDescent="0.25">
      <c r="A5" s="75" t="s">
        <v>77</v>
      </c>
      <c r="B5" s="76" t="s">
        <v>80</v>
      </c>
    </row>
    <row r="6" spans="1:4" x14ac:dyDescent="0.25">
      <c r="A6" s="74">
        <v>0.9</v>
      </c>
      <c r="B6" s="73">
        <v>92.657777777777767</v>
      </c>
    </row>
    <row r="7" spans="1:4" x14ac:dyDescent="0.25">
      <c r="A7" s="74">
        <v>1</v>
      </c>
      <c r="B7" s="73">
        <v>17.673093333333338</v>
      </c>
    </row>
    <row r="8" spans="1:4" x14ac:dyDescent="0.25">
      <c r="A8" s="74">
        <v>2</v>
      </c>
      <c r="B8" s="73">
        <v>13.584556000000001</v>
      </c>
    </row>
    <row r="9" spans="1:4" x14ac:dyDescent="0.25">
      <c r="A9" s="74">
        <v>3</v>
      </c>
      <c r="B9" s="73">
        <v>9.9244666666666657</v>
      </c>
    </row>
    <row r="10" spans="1:4" x14ac:dyDescent="0.25">
      <c r="A10" s="74">
        <v>4</v>
      </c>
      <c r="B10" s="73">
        <v>7.5289890909090902</v>
      </c>
      <c r="D10" s="70"/>
    </row>
    <row r="11" spans="1:4" x14ac:dyDescent="0.25">
      <c r="A11" s="74">
        <v>5</v>
      </c>
      <c r="B11" s="73">
        <v>11.714556000000002</v>
      </c>
    </row>
    <row r="12" spans="1:4" x14ac:dyDescent="0.25">
      <c r="A12" s="74">
        <v>6</v>
      </c>
      <c r="B12" s="73">
        <v>7.629628181818183</v>
      </c>
    </row>
    <row r="13" spans="1:4" x14ac:dyDescent="0.25">
      <c r="A13" s="74">
        <v>8</v>
      </c>
      <c r="B13" s="73">
        <v>7.4877919999999989</v>
      </c>
    </row>
    <row r="14" spans="1:4" x14ac:dyDescent="0.25">
      <c r="A14" s="74">
        <v>10</v>
      </c>
      <c r="B14" s="73">
        <v>7.6139584999999999</v>
      </c>
    </row>
    <row r="15" spans="1:4" x14ac:dyDescent="0.25">
      <c r="A15" s="74">
        <v>12</v>
      </c>
      <c r="B15" s="73">
        <v>8.0872593333333338</v>
      </c>
    </row>
    <row r="16" spans="1:4" x14ac:dyDescent="0.25">
      <c r="A16" s="74">
        <v>14</v>
      </c>
      <c r="B16" s="73" t="e">
        <v>#DIV/0!</v>
      </c>
    </row>
    <row r="17" spans="1:2" x14ac:dyDescent="0.25">
      <c r="A17" s="77" t="s">
        <v>81</v>
      </c>
      <c r="B17" s="73">
        <v>10.891758104575166</v>
      </c>
    </row>
    <row r="20" spans="1:2" x14ac:dyDescent="0.25">
      <c r="A20" s="71" t="s">
        <v>48</v>
      </c>
      <c r="B20" s="72" t="s">
        <v>49</v>
      </c>
    </row>
    <row r="21" spans="1:2" x14ac:dyDescent="0.25">
      <c r="A21" s="71" t="s">
        <v>85</v>
      </c>
      <c r="B21" s="90">
        <v>3.5</v>
      </c>
    </row>
    <row r="22" spans="1:2" x14ac:dyDescent="0.25">
      <c r="A22" s="227" t="s">
        <v>89</v>
      </c>
      <c r="B22" s="228"/>
    </row>
    <row r="23" spans="1:2" x14ac:dyDescent="0.25">
      <c r="A23" s="71" t="s">
        <v>77</v>
      </c>
      <c r="B23" s="72" t="s">
        <v>83</v>
      </c>
    </row>
    <row r="24" spans="1:2" x14ac:dyDescent="0.25">
      <c r="A24" s="74">
        <v>0.9</v>
      </c>
      <c r="B24" s="80">
        <v>7.4021973333333335</v>
      </c>
    </row>
    <row r="25" spans="1:2" x14ac:dyDescent="0.25">
      <c r="A25" s="74">
        <v>1</v>
      </c>
      <c r="B25" s="80">
        <v>5.0538258800000007</v>
      </c>
    </row>
    <row r="26" spans="1:2" x14ac:dyDescent="0.25">
      <c r="A26" s="74">
        <v>2</v>
      </c>
      <c r="B26" s="80">
        <v>3.0546482160000004</v>
      </c>
    </row>
    <row r="27" spans="1:2" x14ac:dyDescent="0.25">
      <c r="A27" s="74">
        <v>3</v>
      </c>
      <c r="B27" s="80">
        <v>2.06287552</v>
      </c>
    </row>
    <row r="28" spans="1:2" x14ac:dyDescent="0.25">
      <c r="A28" s="74">
        <v>4</v>
      </c>
      <c r="B28" s="80">
        <v>1.7020516036363638</v>
      </c>
    </row>
    <row r="29" spans="1:2" x14ac:dyDescent="0.25">
      <c r="A29" s="74">
        <v>5</v>
      </c>
      <c r="B29" s="80">
        <v>1.23597216</v>
      </c>
    </row>
    <row r="30" spans="1:2" x14ac:dyDescent="0.25">
      <c r="A30" s="74">
        <v>6</v>
      </c>
      <c r="B30" s="80">
        <v>1.2288665818181819</v>
      </c>
    </row>
    <row r="31" spans="1:2" x14ac:dyDescent="0.25">
      <c r="A31" s="74">
        <v>8</v>
      </c>
      <c r="B31" s="80">
        <v>0.85959234000000007</v>
      </c>
    </row>
    <row r="32" spans="1:2" x14ac:dyDescent="0.25">
      <c r="A32" s="74">
        <v>10</v>
      </c>
      <c r="B32" s="80">
        <v>0.6036199733333335</v>
      </c>
    </row>
    <row r="33" spans="1:2" x14ac:dyDescent="0.25">
      <c r="A33" s="74">
        <v>12</v>
      </c>
      <c r="B33" s="80">
        <v>0.49313487333333333</v>
      </c>
    </row>
    <row r="34" spans="1:2" x14ac:dyDescent="0.25">
      <c r="A34" s="74">
        <v>14</v>
      </c>
      <c r="B34" s="80">
        <v>0.38631956571428577</v>
      </c>
    </row>
    <row r="35" spans="1:2" x14ac:dyDescent="0.25">
      <c r="A35" s="90" t="s">
        <v>84</v>
      </c>
      <c r="B35" s="80">
        <v>1.8148845652645507</v>
      </c>
    </row>
    <row r="38" spans="1:2" x14ac:dyDescent="0.25">
      <c r="A38" s="71" t="s">
        <v>48</v>
      </c>
      <c r="B38" s="72" t="s">
        <v>49</v>
      </c>
    </row>
    <row r="39" spans="1:2" x14ac:dyDescent="0.25">
      <c r="A39" s="71" t="s">
        <v>85</v>
      </c>
      <c r="B39" s="90">
        <v>3.5</v>
      </c>
    </row>
    <row r="40" spans="1:2" x14ac:dyDescent="0.25">
      <c r="A40" s="225" t="s">
        <v>91</v>
      </c>
      <c r="B40" s="226"/>
    </row>
    <row r="41" spans="1:2" x14ac:dyDescent="0.25">
      <c r="A41" s="71" t="s">
        <v>77</v>
      </c>
      <c r="B41" s="72" t="s">
        <v>90</v>
      </c>
    </row>
    <row r="42" spans="1:2" x14ac:dyDescent="0.25">
      <c r="A42" s="74">
        <v>0.9</v>
      </c>
      <c r="B42" s="80">
        <v>6.6619776000000002</v>
      </c>
    </row>
    <row r="43" spans="1:2" x14ac:dyDescent="0.25">
      <c r="A43" s="74">
        <v>1</v>
      </c>
      <c r="B43" s="80">
        <v>5.0538258800000007</v>
      </c>
    </row>
    <row r="44" spans="1:2" x14ac:dyDescent="0.25">
      <c r="A44" s="74">
        <v>2</v>
      </c>
      <c r="B44" s="80">
        <v>6.1092964320000007</v>
      </c>
    </row>
    <row r="45" spans="1:2" x14ac:dyDescent="0.25">
      <c r="A45" s="74">
        <v>3</v>
      </c>
      <c r="B45" s="80">
        <v>6.1886265600000003</v>
      </c>
    </row>
    <row r="46" spans="1:2" x14ac:dyDescent="0.25">
      <c r="A46" s="74">
        <v>4</v>
      </c>
      <c r="B46" s="80">
        <v>6.8082064145454551</v>
      </c>
    </row>
    <row r="47" spans="1:2" x14ac:dyDescent="0.25">
      <c r="A47" s="74">
        <v>5</v>
      </c>
      <c r="B47" s="80">
        <v>6.1798608000000002</v>
      </c>
    </row>
    <row r="48" spans="1:2" x14ac:dyDescent="0.25">
      <c r="A48" s="74">
        <v>6</v>
      </c>
      <c r="B48" s="80">
        <v>7.3731994909090908</v>
      </c>
    </row>
    <row r="49" spans="1:3" x14ac:dyDescent="0.25">
      <c r="A49" s="74">
        <v>8</v>
      </c>
      <c r="B49" s="80">
        <v>6.8767387200000005</v>
      </c>
    </row>
    <row r="50" spans="1:3" x14ac:dyDescent="0.25">
      <c r="A50" s="74">
        <v>10</v>
      </c>
      <c r="B50" s="80">
        <v>6.0361997333333335</v>
      </c>
    </row>
    <row r="51" spans="1:3" x14ac:dyDescent="0.25">
      <c r="A51" s="74">
        <v>12</v>
      </c>
      <c r="B51" s="80">
        <v>5.9176184800000007</v>
      </c>
    </row>
    <row r="52" spans="1:3" x14ac:dyDescent="0.25">
      <c r="A52" s="74">
        <v>14</v>
      </c>
      <c r="B52" s="80">
        <v>5.4084739200000005</v>
      </c>
    </row>
    <row r="53" spans="1:3" x14ac:dyDescent="0.25">
      <c r="A53" s="90" t="s">
        <v>84</v>
      </c>
      <c r="B53" s="80">
        <v>6.4081053633333322</v>
      </c>
    </row>
    <row r="57" spans="1:3" x14ac:dyDescent="0.25">
      <c r="A57" s="78" t="s">
        <v>48</v>
      </c>
      <c r="B57" t="s">
        <v>49</v>
      </c>
    </row>
    <row r="58" spans="1:3" x14ac:dyDescent="0.25">
      <c r="A58" s="78" t="s">
        <v>85</v>
      </c>
      <c r="B58" s="79">
        <v>3.5</v>
      </c>
      <c r="C58" s="89"/>
    </row>
    <row r="59" spans="1:3" x14ac:dyDescent="0.25">
      <c r="A59" s="224" t="s">
        <v>94</v>
      </c>
      <c r="B59" s="224"/>
    </row>
    <row r="60" spans="1:3" x14ac:dyDescent="0.25">
      <c r="A60" s="78" t="s">
        <v>77</v>
      </c>
      <c r="B60" t="s">
        <v>93</v>
      </c>
    </row>
    <row r="61" spans="1:3" x14ac:dyDescent="0.25">
      <c r="A61" s="91">
        <v>5400</v>
      </c>
      <c r="B61" s="67">
        <v>47.782176874999998</v>
      </c>
    </row>
    <row r="62" spans="1:3" x14ac:dyDescent="0.25">
      <c r="A62" s="92" t="s">
        <v>6</v>
      </c>
      <c r="B62" s="67">
        <v>47.782176874999998</v>
      </c>
    </row>
    <row r="63" spans="1:3" x14ac:dyDescent="0.25">
      <c r="A63" s="91">
        <v>5760</v>
      </c>
      <c r="B63" s="67">
        <v>47.986666666666672</v>
      </c>
    </row>
    <row r="64" spans="1:3" x14ac:dyDescent="0.25">
      <c r="A64" s="92" t="s">
        <v>6</v>
      </c>
      <c r="B64" s="67">
        <v>47.986666666666672</v>
      </c>
    </row>
    <row r="65" spans="1:2" x14ac:dyDescent="0.25">
      <c r="A65" s="91">
        <v>5900</v>
      </c>
      <c r="B65" s="67">
        <v>48.714396666666673</v>
      </c>
    </row>
    <row r="66" spans="1:2" x14ac:dyDescent="0.25">
      <c r="A66" s="92" t="s">
        <v>10</v>
      </c>
      <c r="B66" s="67">
        <v>48.714396666666673</v>
      </c>
    </row>
    <row r="67" spans="1:2" x14ac:dyDescent="0.25">
      <c r="A67" s="91">
        <v>7200</v>
      </c>
      <c r="B67" s="67">
        <v>48.454808362068952</v>
      </c>
    </row>
    <row r="68" spans="1:2" x14ac:dyDescent="0.25">
      <c r="A68" s="92" t="s">
        <v>15</v>
      </c>
      <c r="B68" s="67">
        <v>46.373416960784311</v>
      </c>
    </row>
    <row r="69" spans="1:2" x14ac:dyDescent="0.25">
      <c r="A69" s="92" t="s">
        <v>10</v>
      </c>
      <c r="B69" s="67">
        <v>53.102854393939403</v>
      </c>
    </row>
    <row r="70" spans="1:2" x14ac:dyDescent="0.25">
      <c r="A70" s="92" t="s">
        <v>41</v>
      </c>
      <c r="B70" s="67">
        <v>37.84291666666666</v>
      </c>
    </row>
    <row r="71" spans="1:2" x14ac:dyDescent="0.25">
      <c r="A71" s="92" t="s">
        <v>6</v>
      </c>
      <c r="B71" s="67">
        <v>48.208500000000001</v>
      </c>
    </row>
    <row r="72" spans="1:2" x14ac:dyDescent="0.25">
      <c r="A72" s="91">
        <v>15000</v>
      </c>
      <c r="B72" s="67">
        <v>463.28888888888883</v>
      </c>
    </row>
    <row r="73" spans="1:2" x14ac:dyDescent="0.25">
      <c r="A73" s="92" t="s">
        <v>10</v>
      </c>
      <c r="B73" s="67">
        <v>463.28888888888883</v>
      </c>
    </row>
    <row r="74" spans="1:2" x14ac:dyDescent="0.25">
      <c r="A74" s="91" t="s">
        <v>92</v>
      </c>
      <c r="B74" s="67">
        <v>54.075121080669717</v>
      </c>
    </row>
    <row r="77" spans="1:2" x14ac:dyDescent="0.25">
      <c r="A77" s="78" t="s">
        <v>48</v>
      </c>
      <c r="B77" t="s">
        <v>49</v>
      </c>
    </row>
    <row r="78" spans="1:2" x14ac:dyDescent="0.25">
      <c r="A78" s="78" t="s">
        <v>85</v>
      </c>
      <c r="B78" s="79">
        <v>3.5</v>
      </c>
    </row>
    <row r="79" spans="1:2" x14ac:dyDescent="0.25">
      <c r="A79" s="78" t="s">
        <v>1</v>
      </c>
      <c r="B79" t="s">
        <v>118</v>
      </c>
    </row>
    <row r="80" spans="1:2" x14ac:dyDescent="0.25">
      <c r="A80" s="78" t="s">
        <v>58</v>
      </c>
      <c r="B80" t="s">
        <v>101</v>
      </c>
    </row>
    <row r="82" spans="1:2" x14ac:dyDescent="0.25">
      <c r="A82" s="78" t="s">
        <v>77</v>
      </c>
      <c r="B82" t="s">
        <v>100</v>
      </c>
    </row>
    <row r="83" spans="1:2" x14ac:dyDescent="0.25">
      <c r="A83" s="79">
        <v>1</v>
      </c>
      <c r="B83" s="97">
        <v>14.399999999999999</v>
      </c>
    </row>
    <row r="84" spans="1:2" x14ac:dyDescent="0.25">
      <c r="A84" s="98">
        <v>5400</v>
      </c>
      <c r="B84" s="97">
        <v>14.399999999999999</v>
      </c>
    </row>
    <row r="85" spans="1:2" x14ac:dyDescent="0.25">
      <c r="A85" s="98">
        <v>5900</v>
      </c>
      <c r="B85" s="97">
        <v>14.399999999999999</v>
      </c>
    </row>
    <row r="86" spans="1:2" x14ac:dyDescent="0.25">
      <c r="A86" s="79">
        <v>2</v>
      </c>
      <c r="B86" s="97">
        <v>22.89</v>
      </c>
    </row>
    <row r="87" spans="1:2" x14ac:dyDescent="0.25">
      <c r="A87" s="98">
        <v>5400</v>
      </c>
      <c r="B87" s="97">
        <v>20.759999999999998</v>
      </c>
    </row>
    <row r="88" spans="1:2" x14ac:dyDescent="0.25">
      <c r="A88" s="98">
        <v>5900</v>
      </c>
      <c r="B88" s="97">
        <v>24</v>
      </c>
    </row>
    <row r="89" spans="1:2" x14ac:dyDescent="0.25">
      <c r="A89" s="98">
        <v>7200</v>
      </c>
      <c r="B89" s="97">
        <v>23.4</v>
      </c>
    </row>
    <row r="90" spans="1:2" x14ac:dyDescent="0.25">
      <c r="A90" s="79">
        <v>3</v>
      </c>
      <c r="B90" s="97">
        <v>22.52</v>
      </c>
    </row>
    <row r="91" spans="1:2" x14ac:dyDescent="0.25">
      <c r="A91" s="98">
        <v>5400</v>
      </c>
      <c r="B91" s="97">
        <v>20.759999999999998</v>
      </c>
    </row>
    <row r="92" spans="1:2" x14ac:dyDescent="0.25">
      <c r="A92" s="98">
        <v>5900</v>
      </c>
      <c r="B92" s="97">
        <v>24</v>
      </c>
    </row>
    <row r="93" spans="1:2" x14ac:dyDescent="0.25">
      <c r="A93" s="98">
        <v>7200</v>
      </c>
      <c r="B93" s="97">
        <v>22.799999999999997</v>
      </c>
    </row>
    <row r="94" spans="1:2" x14ac:dyDescent="0.25">
      <c r="A94" s="79">
        <v>4</v>
      </c>
      <c r="B94" s="97">
        <v>23.679999999999996</v>
      </c>
    </row>
    <row r="95" spans="1:2" x14ac:dyDescent="0.25">
      <c r="A95" s="98">
        <v>5400</v>
      </c>
      <c r="B95" s="97">
        <v>21</v>
      </c>
    </row>
    <row r="96" spans="1:2" x14ac:dyDescent="0.25">
      <c r="A96" s="98">
        <v>5900</v>
      </c>
      <c r="B96" s="97">
        <v>22.8</v>
      </c>
    </row>
    <row r="97" spans="1:2" x14ac:dyDescent="0.25">
      <c r="A97" s="98">
        <v>7200</v>
      </c>
      <c r="B97" s="97">
        <v>25.16</v>
      </c>
    </row>
    <row r="98" spans="1:2" x14ac:dyDescent="0.25">
      <c r="A98" s="79">
        <v>5</v>
      </c>
      <c r="B98" s="97">
        <v>21</v>
      </c>
    </row>
    <row r="99" spans="1:2" x14ac:dyDescent="0.25">
      <c r="A99" s="98">
        <v>5400</v>
      </c>
      <c r="B99" s="97">
        <v>21</v>
      </c>
    </row>
    <row r="100" spans="1:2" x14ac:dyDescent="0.25">
      <c r="A100" s="79">
        <v>6</v>
      </c>
      <c r="B100" s="97">
        <v>23.616000000000003</v>
      </c>
    </row>
    <row r="101" spans="1:2" x14ac:dyDescent="0.25">
      <c r="A101" s="98">
        <v>5400</v>
      </c>
      <c r="B101" s="97">
        <v>21</v>
      </c>
    </row>
    <row r="102" spans="1:2" x14ac:dyDescent="0.25">
      <c r="A102" s="98">
        <v>5760</v>
      </c>
      <c r="B102" s="97"/>
    </row>
    <row r="103" spans="1:2" x14ac:dyDescent="0.25">
      <c r="A103" s="98">
        <v>7200</v>
      </c>
      <c r="B103" s="97">
        <v>24.270000000000003</v>
      </c>
    </row>
    <row r="104" spans="1:2" x14ac:dyDescent="0.25">
      <c r="A104" s="79">
        <v>8</v>
      </c>
      <c r="B104" s="97">
        <v>23.712</v>
      </c>
    </row>
    <row r="105" spans="1:2" x14ac:dyDescent="0.25">
      <c r="A105" s="98">
        <v>5400</v>
      </c>
      <c r="B105" s="97">
        <v>21.48</v>
      </c>
    </row>
    <row r="106" spans="1:2" x14ac:dyDescent="0.25">
      <c r="A106" s="98">
        <v>7200</v>
      </c>
      <c r="B106" s="97">
        <v>24.270000000000003</v>
      </c>
    </row>
    <row r="107" spans="1:2" x14ac:dyDescent="0.25">
      <c r="A107" s="79">
        <v>10</v>
      </c>
      <c r="B107" s="97">
        <v>23.736000000000001</v>
      </c>
    </row>
    <row r="108" spans="1:2" x14ac:dyDescent="0.25">
      <c r="A108" s="98">
        <v>5400</v>
      </c>
      <c r="B108" s="97">
        <v>21.48</v>
      </c>
    </row>
    <row r="109" spans="1:2" x14ac:dyDescent="0.25">
      <c r="A109" s="98">
        <v>7200</v>
      </c>
      <c r="B109" s="97">
        <v>24.299999999999997</v>
      </c>
    </row>
    <row r="110" spans="1:2" x14ac:dyDescent="0.25">
      <c r="A110" s="79">
        <v>12</v>
      </c>
      <c r="B110" s="97">
        <v>22.8</v>
      </c>
    </row>
    <row r="111" spans="1:2" x14ac:dyDescent="0.25">
      <c r="A111" s="98">
        <v>7200</v>
      </c>
      <c r="B111" s="97">
        <v>22.8</v>
      </c>
    </row>
    <row r="112" spans="1:2" x14ac:dyDescent="0.25">
      <c r="A112" s="79" t="s">
        <v>92</v>
      </c>
      <c r="B112" s="97">
        <v>22.785454545454552</v>
      </c>
    </row>
  </sheetData>
  <mergeCells count="4">
    <mergeCell ref="A4:B4"/>
    <mergeCell ref="A59:B59"/>
    <mergeCell ref="A40:B40"/>
    <mergeCell ref="A22:B22"/>
  </mergeCells>
  <pageMargins left="0.25" right="0.25" top="0.75" bottom="0.75" header="0.3" footer="0.3"/>
  <pageSetup scale="77" fitToHeight="3" orientation="landscape" r:id="rId6"/>
  <headerFooter>
    <oddHeader>&amp;CDisk Price 
Performance Analysis</oddHeader>
  </headerFooter>
  <rowBreaks count="2" manualBreakCount="2">
    <brk id="35" max="16383" man="1"/>
    <brk id="75" max="16383" man="1"/>
  </rowBreaks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18"/>
  <sheetViews>
    <sheetView topLeftCell="A9" workbookViewId="0">
      <selection activeCell="A2" sqref="A2"/>
    </sheetView>
  </sheetViews>
  <sheetFormatPr defaultRowHeight="15" x14ac:dyDescent="0.25"/>
  <cols>
    <col min="2" max="2" width="14.7109375" customWidth="1"/>
    <col min="3" max="3" width="12.140625" customWidth="1"/>
    <col min="4" max="4" width="12.140625" bestFit="1" customWidth="1"/>
  </cols>
  <sheetData>
    <row r="1" spans="1:1" x14ac:dyDescent="0.25">
      <c r="A1" t="s">
        <v>117</v>
      </c>
    </row>
    <row r="18" spans="1:1" x14ac:dyDescent="0.25">
      <c r="A18" t="s">
        <v>76</v>
      </c>
    </row>
  </sheetData>
  <pageMargins left="0.25" right="0.25" top="0.75" bottom="0.75" header="0.3" footer="0.3"/>
  <pageSetup scale="9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B8"/>
  <sheetViews>
    <sheetView workbookViewId="0">
      <selection activeCell="A8" sqref="A8"/>
    </sheetView>
  </sheetViews>
  <sheetFormatPr defaultRowHeight="15" x14ac:dyDescent="0.25"/>
  <sheetData>
    <row r="1" spans="1:28" s="2" customFormat="1" ht="15.75" thickBot="1" x14ac:dyDescent="0.3">
      <c r="A1" s="8" t="s">
        <v>0</v>
      </c>
      <c r="B1" s="8" t="s">
        <v>1</v>
      </c>
      <c r="C1" s="8" t="s">
        <v>4</v>
      </c>
      <c r="D1" s="30" t="s">
        <v>48</v>
      </c>
      <c r="E1" s="9" t="s">
        <v>26</v>
      </c>
      <c r="F1" s="59" t="s">
        <v>7</v>
      </c>
      <c r="G1" s="9" t="s">
        <v>64</v>
      </c>
      <c r="H1" s="9" t="s">
        <v>66</v>
      </c>
      <c r="I1" s="31" t="s">
        <v>63</v>
      </c>
      <c r="J1" s="60" t="s">
        <v>62</v>
      </c>
      <c r="K1" s="31" t="s">
        <v>25</v>
      </c>
      <c r="L1" s="20" t="s">
        <v>61</v>
      </c>
      <c r="M1" s="20" t="s">
        <v>60</v>
      </c>
      <c r="N1" s="20" t="s">
        <v>58</v>
      </c>
      <c r="O1" s="30" t="s">
        <v>59</v>
      </c>
      <c r="P1" s="32" t="s">
        <v>35</v>
      </c>
      <c r="Q1" s="20" t="s">
        <v>8</v>
      </c>
      <c r="R1" s="20" t="s">
        <v>9</v>
      </c>
      <c r="S1" s="33" t="s">
        <v>30</v>
      </c>
      <c r="T1" s="31" t="s">
        <v>2</v>
      </c>
      <c r="U1" s="33" t="s">
        <v>3</v>
      </c>
      <c r="V1" s="32" t="s">
        <v>32</v>
      </c>
      <c r="W1" s="20" t="s">
        <v>47</v>
      </c>
      <c r="X1" s="33" t="s">
        <v>20</v>
      </c>
      <c r="Y1" s="31" t="s">
        <v>31</v>
      </c>
      <c r="Z1" s="20" t="s">
        <v>21</v>
      </c>
      <c r="AA1" s="20" t="s">
        <v>46</v>
      </c>
      <c r="AB1" s="11" t="s">
        <v>40</v>
      </c>
    </row>
    <row r="2" spans="1:28" ht="15.75" thickTop="1" x14ac:dyDescent="0.25">
      <c r="D2" s="65" t="s">
        <v>49</v>
      </c>
      <c r="E2" s="66">
        <v>10</v>
      </c>
      <c r="T2" t="s">
        <v>70</v>
      </c>
    </row>
    <row r="4" spans="1:28" x14ac:dyDescent="0.25">
      <c r="A4" s="67">
        <f>DVAR('Drive Table'!$A$2:$AE$149,"Cost",$A$1:$AB$2)</f>
        <v>5855.4877361111285</v>
      </c>
      <c r="B4" t="s">
        <v>75</v>
      </c>
    </row>
    <row r="5" spans="1:28" x14ac:dyDescent="0.25">
      <c r="A5" s="67">
        <f>DAVERAGE('Drive Table'!$A$2:$AE$149,"Cost",$A$1:$AB$2)</f>
        <v>357.63111111111107</v>
      </c>
      <c r="B5" t="s">
        <v>71</v>
      </c>
    </row>
    <row r="6" spans="1:28" x14ac:dyDescent="0.25">
      <c r="A6" s="67">
        <f>DMIN('Drive Table'!$A$2:$AE$149,"Cost",$A$1:$AB$2)</f>
        <v>279.99</v>
      </c>
      <c r="B6" t="s">
        <v>72</v>
      </c>
    </row>
    <row r="7" spans="1:28" x14ac:dyDescent="0.25">
      <c r="A7" s="67">
        <f>DMAX('Drive Table'!$A$2:$AE$149,"Cost",$A$1:$AB$2)</f>
        <v>540.67999999999995</v>
      </c>
      <c r="B7" t="s">
        <v>73</v>
      </c>
    </row>
    <row r="8" spans="1:28" x14ac:dyDescent="0.25">
      <c r="A8">
        <f>DCOUNTA('Drive Table'!$A$2:$AE$149,"Cost",$A$1:$AB$2)</f>
        <v>9</v>
      </c>
      <c r="B8" t="s">
        <v>74</v>
      </c>
    </row>
  </sheetData>
  <pageMargins left="0.25" right="0.25" top="0.75" bottom="0.75" header="0.3" footer="0.3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13</vt:i4>
      </vt:variant>
    </vt:vector>
  </HeadingPairs>
  <TitlesOfParts>
    <vt:vector size="17" baseType="lpstr">
      <vt:lpstr>Drive Table</vt:lpstr>
      <vt:lpstr>Tables</vt:lpstr>
      <vt:lpstr>Charts</vt:lpstr>
      <vt:lpstr>Database</vt:lpstr>
      <vt:lpstr>Active_Duty_Cycle</vt:lpstr>
      <vt:lpstr>CompareWarrYrs</vt:lpstr>
      <vt:lpstr>CostPerKWH</vt:lpstr>
      <vt:lpstr>Day_in_Year</vt:lpstr>
      <vt:lpstr>Days_In_Month</vt:lpstr>
      <vt:lpstr>Days_in_Year</vt:lpstr>
      <vt:lpstr>Exchange_Rate</vt:lpstr>
      <vt:lpstr>Hours_In_Day</vt:lpstr>
      <vt:lpstr>Hours_In_Month</vt:lpstr>
      <vt:lpstr>Incremental_Warr_Yr</vt:lpstr>
      <vt:lpstr>Months_In_Year</vt:lpstr>
      <vt:lpstr>Power_On_Hours_Year</vt:lpstr>
      <vt:lpstr>'Drive Table'!Print_Titles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2017-11-01T22:55:36Z</dcterms:created>
  <dcterms:modified xsi:type="dcterms:W3CDTF">2018-08-22T21:55:53Z</dcterms:modified>
</cp:coreProperties>
</file>