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Table'!$D$160</definedName>
    <definedName name="CompareWarrYrs">'Drive Table'!$D$161</definedName>
    <definedName name="CostPerKWH">'Drive Table'!$D$159</definedName>
    <definedName name="Day_in_Year">'Drive Table'!$D$167</definedName>
    <definedName name="Days_In_Month">'Drive Table'!$D$166</definedName>
    <definedName name="Days_in_Year">'Drive Table'!$D$167</definedName>
    <definedName name="Exchange_Rate">'Drive Table'!$D$169</definedName>
    <definedName name="Hours_In_Day">'Drive Table'!$D$164</definedName>
    <definedName name="Hours_In_Month">'Drive Table'!$D$165</definedName>
    <definedName name="Incremental_Warr_Yr">'Drive Table'!$D$162</definedName>
    <definedName name="Months_In_Year">'Drive Table'!$D$168</definedName>
    <definedName name="Power_On_Hours_Year">'Drive Table'!$D$163</definedName>
    <definedName name="_xlnm.Print_Titles" localSheetId="0">'Drive Table'!$1:$2</definedName>
  </definedNames>
  <calcPr calcId="171027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8" i="1" l="1"/>
  <c r="W110" i="1"/>
  <c r="W102" i="1"/>
  <c r="W116" i="1"/>
  <c r="AA86" i="1"/>
  <c r="Y85" i="1"/>
  <c r="D163" i="1" l="1"/>
  <c r="W141" i="1"/>
  <c r="W23" i="1" l="1"/>
  <c r="W147" i="1"/>
  <c r="X101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9" i="1"/>
  <c r="X60" i="1"/>
  <c r="X61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2" i="1"/>
  <c r="X103" i="1"/>
  <c r="X104" i="1"/>
  <c r="X105" i="1"/>
  <c r="X106" i="1"/>
  <c r="X107" i="1"/>
  <c r="X108" i="1"/>
  <c r="X109" i="1"/>
  <c r="X110" i="1"/>
  <c r="X111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Y101" i="1"/>
  <c r="Z101" i="1" s="1"/>
  <c r="AA101" i="1" s="1"/>
  <c r="P101" i="1"/>
  <c r="J101" i="1"/>
  <c r="Y105" i="1"/>
  <c r="Z105" i="1" s="1"/>
  <c r="AA105" i="1" s="1"/>
  <c r="P105" i="1"/>
  <c r="J105" i="1"/>
  <c r="J99" i="1"/>
  <c r="Y99" i="1"/>
  <c r="Z99" i="1" s="1"/>
  <c r="AA99" i="1" s="1"/>
  <c r="Y3" i="1" l="1"/>
  <c r="W17" i="1" l="1"/>
  <c r="X17" i="1" s="1"/>
  <c r="J40" i="1" l="1"/>
  <c r="P40" i="1"/>
  <c r="Y40" i="1"/>
  <c r="Z40" i="1" s="1"/>
  <c r="AA40" i="1" s="1"/>
  <c r="AB40" i="1"/>
  <c r="AC40" i="1"/>
  <c r="W58" i="1" l="1"/>
  <c r="X58" i="1" s="1"/>
  <c r="Y60" i="1"/>
  <c r="Z60" i="1" s="1"/>
  <c r="AA60" i="1" s="1"/>
  <c r="J60" i="1"/>
  <c r="W62" i="1"/>
  <c r="X62" i="1" s="1"/>
  <c r="Q49" i="1" l="1"/>
  <c r="Q51" i="1"/>
  <c r="Q50" i="1"/>
  <c r="P100" i="1"/>
  <c r="P92" i="1"/>
  <c r="P93" i="1"/>
  <c r="AC15" i="1" l="1"/>
  <c r="AC16" i="1"/>
  <c r="AC17" i="1"/>
  <c r="AC14" i="1"/>
  <c r="AB15" i="1"/>
  <c r="AB16" i="1"/>
  <c r="AB17" i="1"/>
  <c r="Y11" i="1"/>
  <c r="Z11" i="1" s="1"/>
  <c r="AA11" i="1" s="1"/>
  <c r="Q11" i="1"/>
  <c r="J11" i="1"/>
  <c r="Y12" i="1"/>
  <c r="Z12" i="1" s="1"/>
  <c r="AA12" i="1" s="1"/>
  <c r="Q12" i="1"/>
  <c r="J12" i="1"/>
  <c r="AB14" i="1"/>
  <c r="Q13" i="1"/>
  <c r="J100" i="1" l="1"/>
  <c r="Y100" i="1"/>
  <c r="Z100" i="1" s="1"/>
  <c r="AA100" i="1" s="1"/>
  <c r="Y49" i="1"/>
  <c r="Z49" i="1" s="1"/>
  <c r="AA49" i="1" s="1"/>
  <c r="J49" i="1"/>
  <c r="Y68" i="1"/>
  <c r="Z68" i="1" s="1"/>
  <c r="AA68" i="1" s="1"/>
  <c r="J68" i="1"/>
  <c r="Y67" i="1"/>
  <c r="Z67" i="1" s="1"/>
  <c r="AA67" i="1" s="1"/>
  <c r="J67" i="1"/>
  <c r="Y121" i="1"/>
  <c r="Z121" i="1" s="1"/>
  <c r="AA121" i="1" s="1"/>
  <c r="P121" i="1"/>
  <c r="J121" i="1"/>
  <c r="Y120" i="1"/>
  <c r="Z120" i="1" s="1"/>
  <c r="AA120" i="1" s="1"/>
  <c r="P120" i="1"/>
  <c r="J120" i="1"/>
  <c r="Y19" i="1"/>
  <c r="Z19" i="1" s="1"/>
  <c r="AA19" i="1" s="1"/>
  <c r="J19" i="1"/>
  <c r="P41" i="1" l="1"/>
  <c r="AC37" i="1"/>
  <c r="AB37" i="1"/>
  <c r="AB38" i="1"/>
  <c r="AC38" i="1"/>
  <c r="AC39" i="1"/>
  <c r="AB39" i="1"/>
  <c r="AC41" i="1"/>
  <c r="AB41" i="1"/>
  <c r="J41" i="1"/>
  <c r="Y41" i="1"/>
  <c r="Z41" i="1" s="1"/>
  <c r="AA41" i="1" s="1"/>
  <c r="Q48" i="1" l="1"/>
  <c r="J48" i="1"/>
  <c r="Y48" i="1"/>
  <c r="Z48" i="1" s="1"/>
  <c r="AA48" i="1" s="1"/>
  <c r="J13" i="1" l="1"/>
  <c r="Y13" i="1"/>
  <c r="Z13" i="1" s="1"/>
  <c r="AA13" i="1" s="1"/>
  <c r="Y28" i="1" l="1"/>
  <c r="Y29" i="1"/>
  <c r="Y30" i="1"/>
  <c r="AB150" i="1" l="1"/>
  <c r="AC150" i="1"/>
  <c r="AB151" i="1"/>
  <c r="AC151" i="1"/>
  <c r="AB152" i="1"/>
  <c r="AC152" i="1"/>
  <c r="AB153" i="1"/>
  <c r="AC153" i="1"/>
  <c r="AB154" i="1"/>
  <c r="AC154" i="1"/>
  <c r="P96" i="1" l="1"/>
  <c r="Y96" i="1"/>
  <c r="Z96" i="1" s="1"/>
  <c r="AA96" i="1" s="1"/>
  <c r="J96" i="1"/>
  <c r="Y93" i="1" l="1"/>
  <c r="Z93" i="1" s="1"/>
  <c r="AA93" i="1" s="1"/>
  <c r="J93" i="1"/>
  <c r="Y92" i="1"/>
  <c r="Z92" i="1" s="1"/>
  <c r="AA92" i="1" s="1"/>
  <c r="J92" i="1"/>
  <c r="Y97" i="1"/>
  <c r="Z97" i="1" s="1"/>
  <c r="AA97" i="1" s="1"/>
  <c r="P97" i="1"/>
  <c r="J97" i="1"/>
  <c r="Y94" i="1"/>
  <c r="Z94" i="1" s="1"/>
  <c r="AA94" i="1" s="1"/>
  <c r="P94" i="1"/>
  <c r="J94" i="1"/>
  <c r="P88" i="1"/>
  <c r="P87" i="1"/>
  <c r="P86" i="1"/>
  <c r="Y88" i="1"/>
  <c r="Z88" i="1" s="1"/>
  <c r="AA88" i="1" s="1"/>
  <c r="J88" i="1"/>
  <c r="Y87" i="1"/>
  <c r="Z87" i="1" s="1"/>
  <c r="AA87" i="1" s="1"/>
  <c r="J87" i="1"/>
  <c r="Y86" i="1"/>
  <c r="Z86" i="1" s="1"/>
  <c r="J86" i="1"/>
  <c r="Y6" i="1" l="1"/>
  <c r="J9" i="1" l="1"/>
  <c r="J10" i="1"/>
  <c r="Y10" i="1"/>
  <c r="Z10" i="1" s="1"/>
  <c r="AA10" i="1" s="1"/>
  <c r="Y9" i="1"/>
  <c r="Z9" i="1" s="1"/>
  <c r="AA9" i="1" s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2" i="1"/>
  <c r="P103" i="1"/>
  <c r="P104" i="1"/>
  <c r="P106" i="1"/>
  <c r="P107" i="1"/>
  <c r="P108" i="1"/>
  <c r="P109" i="1"/>
  <c r="P110" i="1"/>
  <c r="P111" i="1"/>
  <c r="P113" i="1"/>
  <c r="P114" i="1"/>
  <c r="P115" i="1"/>
  <c r="P116" i="1"/>
  <c r="P117" i="1"/>
  <c r="P118" i="1"/>
  <c r="P119" i="1"/>
  <c r="P122" i="1"/>
  <c r="P123" i="1"/>
  <c r="P124" i="1"/>
  <c r="P125" i="1"/>
  <c r="P126" i="1"/>
  <c r="P134" i="1"/>
  <c r="P135" i="1"/>
  <c r="P136" i="1"/>
  <c r="P137" i="1"/>
  <c r="P138" i="1"/>
  <c r="P139" i="1"/>
  <c r="P140" i="1"/>
  <c r="P141" i="1"/>
  <c r="P142" i="1"/>
  <c r="P143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5" i="1"/>
  <c r="Q123" i="1"/>
  <c r="Q124" i="1"/>
  <c r="Q125" i="1"/>
  <c r="Q126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2" i="1"/>
  <c r="Y63" i="1"/>
  <c r="Y64" i="1"/>
  <c r="Y65" i="1"/>
  <c r="Y66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9" i="1"/>
  <c r="Y90" i="1"/>
  <c r="Y91" i="1"/>
  <c r="Y95" i="1"/>
  <c r="Y98" i="1"/>
  <c r="Y102" i="1"/>
  <c r="Y103" i="1"/>
  <c r="Y104" i="1"/>
  <c r="Y106" i="1"/>
  <c r="Y107" i="1"/>
  <c r="Y108" i="1"/>
  <c r="Y109" i="1"/>
  <c r="Y110" i="1"/>
  <c r="Y111" i="1"/>
  <c r="Y113" i="1"/>
  <c r="Y114" i="1"/>
  <c r="Y115" i="1"/>
  <c r="Y116" i="1"/>
  <c r="Y117" i="1"/>
  <c r="Y118" i="1"/>
  <c r="Y119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J28" i="1"/>
  <c r="J29" i="1"/>
  <c r="J30" i="1"/>
  <c r="P153" i="1" l="1"/>
  <c r="P152" i="1"/>
  <c r="P151" i="1"/>
  <c r="P150" i="1"/>
  <c r="T153" i="1"/>
  <c r="T152" i="1"/>
  <c r="T151" i="1"/>
  <c r="T150" i="1"/>
  <c r="W154" i="1"/>
  <c r="W153" i="1"/>
  <c r="W152" i="1"/>
  <c r="W151" i="1"/>
  <c r="W150" i="1"/>
  <c r="G154" i="1"/>
  <c r="G153" i="1"/>
  <c r="G152" i="1"/>
  <c r="G151" i="1"/>
  <c r="G150" i="1"/>
  <c r="X150" i="1" l="1"/>
  <c r="Y151" i="1"/>
  <c r="Y153" i="1"/>
  <c r="Y150" i="1"/>
  <c r="Y154" i="1"/>
  <c r="X152" i="1"/>
  <c r="Y152" i="1"/>
  <c r="X151" i="1"/>
  <c r="X153" i="1"/>
  <c r="Z84" i="1" l="1"/>
  <c r="AA84" i="1" s="1"/>
  <c r="J84" i="1"/>
  <c r="Z78" i="1"/>
  <c r="AA78" i="1" s="1"/>
  <c r="J78" i="1"/>
  <c r="Z98" i="1"/>
  <c r="AA98" i="1" s="1"/>
  <c r="J98" i="1"/>
  <c r="Z95" i="1"/>
  <c r="AA95" i="1" s="1"/>
  <c r="J95" i="1"/>
  <c r="J89" i="1"/>
  <c r="J90" i="1"/>
  <c r="J91" i="1"/>
  <c r="Z89" i="1"/>
  <c r="AA89" i="1" s="1"/>
  <c r="Z90" i="1"/>
  <c r="AA90" i="1" s="1"/>
  <c r="Z91" i="1"/>
  <c r="AA91" i="1" s="1"/>
  <c r="Z135" i="1"/>
  <c r="AA135" i="1" s="1"/>
  <c r="J135" i="1"/>
  <c r="Z134" i="1"/>
  <c r="AA134" i="1" s="1"/>
  <c r="J134" i="1"/>
  <c r="Z115" i="1"/>
  <c r="AA115" i="1" s="1"/>
  <c r="J115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6" i="1"/>
  <c r="AA66" i="1" s="1"/>
  <c r="J66" i="1"/>
  <c r="Z65" i="1"/>
  <c r="AA65" i="1" s="1"/>
  <c r="J65" i="1"/>
  <c r="Z64" i="1"/>
  <c r="AA64" i="1" s="1"/>
  <c r="J64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8" i="1" l="1"/>
  <c r="Z148" i="1"/>
  <c r="AA148" i="1" s="1"/>
  <c r="Z3" i="1"/>
  <c r="AA3" i="1" s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1" i="1"/>
  <c r="Z63" i="1"/>
  <c r="Z69" i="1"/>
  <c r="Z70" i="1"/>
  <c r="Z71" i="1"/>
  <c r="Z72" i="1"/>
  <c r="Z73" i="1"/>
  <c r="Z74" i="1"/>
  <c r="Z75" i="1"/>
  <c r="Z76" i="1"/>
  <c r="Z77" i="1"/>
  <c r="Z79" i="1"/>
  <c r="Z80" i="1"/>
  <c r="Z81" i="1"/>
  <c r="Z82" i="1"/>
  <c r="Z83" i="1"/>
  <c r="Z85" i="1"/>
  <c r="Z102" i="1"/>
  <c r="Z103" i="1"/>
  <c r="Z104" i="1"/>
  <c r="Z106" i="1"/>
  <c r="Z107" i="1"/>
  <c r="Z108" i="1"/>
  <c r="Z109" i="1"/>
  <c r="Z110" i="1"/>
  <c r="Z111" i="1"/>
  <c r="Z113" i="1"/>
  <c r="Z114" i="1"/>
  <c r="Z116" i="1"/>
  <c r="Z117" i="1"/>
  <c r="Z118" i="1"/>
  <c r="Z119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9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1" i="1"/>
  <c r="AA61" i="1"/>
  <c r="Z59" i="1" l="1"/>
  <c r="AA149" i="1"/>
  <c r="J149" i="1"/>
  <c r="A5" i="3"/>
  <c r="A6" i="3"/>
  <c r="A7" i="3"/>
  <c r="A4" i="3"/>
  <c r="A8" i="3"/>
  <c r="O151" i="1"/>
  <c r="S152" i="1"/>
  <c r="R152" i="1"/>
  <c r="S153" i="1"/>
  <c r="S150" i="1"/>
  <c r="R153" i="1"/>
  <c r="R150" i="1"/>
  <c r="S151" i="1"/>
  <c r="R151" i="1"/>
  <c r="E154" i="1"/>
  <c r="E153" i="1"/>
  <c r="E152" i="1"/>
  <c r="E151" i="1"/>
  <c r="E150" i="1"/>
  <c r="AA59" i="1" l="1"/>
  <c r="AA114" i="1"/>
  <c r="J114" i="1"/>
  <c r="AA23" i="1"/>
  <c r="J23" i="1"/>
  <c r="AA7" i="1" l="1"/>
  <c r="J7" i="1"/>
  <c r="H151" i="1" l="1"/>
  <c r="A162" i="1" l="1"/>
  <c r="O150" i="1"/>
  <c r="AA133" i="1"/>
  <c r="J133" i="1"/>
  <c r="AA24" i="1"/>
  <c r="J24" i="1"/>
  <c r="O153" i="1"/>
  <c r="I152" i="1"/>
  <c r="I153" i="1"/>
  <c r="I151" i="1"/>
  <c r="I150" i="1"/>
  <c r="I154" i="1"/>
  <c r="AA25" i="1"/>
  <c r="J25" i="1"/>
  <c r="Z62" i="1" l="1"/>
  <c r="O152" i="1"/>
  <c r="Z153" i="1" l="1"/>
  <c r="Z152" i="1"/>
  <c r="Z151" i="1"/>
  <c r="Z150" i="1"/>
  <c r="AA109" i="1"/>
  <c r="J109" i="1"/>
  <c r="AA113" i="1"/>
  <c r="J113" i="1"/>
  <c r="AA111" i="1"/>
  <c r="J111" i="1"/>
  <c r="AA110" i="1"/>
  <c r="J110" i="1"/>
  <c r="H154" i="1" l="1"/>
  <c r="H153" i="1"/>
  <c r="H152" i="1"/>
  <c r="H150" i="1"/>
  <c r="AA63" i="1" l="1"/>
  <c r="J63" i="1"/>
  <c r="AA6" i="1" l="1"/>
  <c r="J6" i="1"/>
  <c r="N153" i="1" l="1"/>
  <c r="N152" i="1"/>
  <c r="N151" i="1"/>
  <c r="N150" i="1"/>
  <c r="M153" i="1"/>
  <c r="M152" i="1"/>
  <c r="M151" i="1"/>
  <c r="M150" i="1"/>
  <c r="L153" i="1"/>
  <c r="L152" i="1"/>
  <c r="L151" i="1"/>
  <c r="L150" i="1"/>
  <c r="K153" i="1"/>
  <c r="K152" i="1"/>
  <c r="K151" i="1"/>
  <c r="K150" i="1"/>
  <c r="F154" i="1"/>
  <c r="F153" i="1"/>
  <c r="F152" i="1"/>
  <c r="F151" i="1"/>
  <c r="F150" i="1"/>
  <c r="A159" i="1"/>
  <c r="K154" i="1"/>
  <c r="M154" i="1"/>
  <c r="N154" i="1"/>
  <c r="O154" i="1"/>
  <c r="D166" i="1"/>
  <c r="D165" i="1" s="1"/>
  <c r="U101" i="1"/>
  <c r="V101" i="1" s="1"/>
  <c r="U40" i="1" l="1"/>
  <c r="V40" i="1" s="1"/>
  <c r="U105" i="1"/>
  <c r="V105" i="1" s="1"/>
  <c r="U100" i="1"/>
  <c r="V100" i="1" s="1"/>
  <c r="U60" i="1"/>
  <c r="V60" i="1" s="1"/>
  <c r="U11" i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21" i="1"/>
  <c r="V121" i="1" s="1"/>
  <c r="U120" i="1"/>
  <c r="V120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22" i="1"/>
  <c r="V122" i="1" s="1"/>
  <c r="U30" i="1"/>
  <c r="V30" i="1" s="1"/>
  <c r="U29" i="1"/>
  <c r="V29" i="1" s="1"/>
  <c r="U28" i="1"/>
  <c r="V28" i="1" s="1"/>
  <c r="U106" i="1"/>
  <c r="V106" i="1" s="1"/>
  <c r="U109" i="1"/>
  <c r="V109" i="1" s="1"/>
  <c r="U107" i="1"/>
  <c r="V107" i="1" s="1"/>
  <c r="U110" i="1"/>
  <c r="V110" i="1" s="1"/>
  <c r="U111" i="1"/>
  <c r="V111" i="1" s="1"/>
  <c r="U113" i="1"/>
  <c r="V113" i="1" s="1"/>
  <c r="U108" i="1"/>
  <c r="V108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U98" i="1"/>
  <c r="V98" i="1" s="1"/>
  <c r="U91" i="1"/>
  <c r="V91" i="1" s="1"/>
  <c r="U89" i="1"/>
  <c r="V89" i="1" s="1"/>
  <c r="U134" i="1"/>
  <c r="V134" i="1" s="1"/>
  <c r="U135" i="1"/>
  <c r="V135" i="1" s="1"/>
  <c r="U53" i="1"/>
  <c r="V53" i="1" s="1"/>
  <c r="U115" i="1"/>
  <c r="V115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8" i="1"/>
  <c r="V148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9" i="1"/>
  <c r="V149" i="1" s="1"/>
  <c r="U114" i="1"/>
  <c r="V114" i="1" s="1"/>
  <c r="U23" i="1"/>
  <c r="V23" i="1" s="1"/>
  <c r="U24" i="1"/>
  <c r="V24" i="1" s="1"/>
  <c r="U133" i="1"/>
  <c r="V133" i="1" s="1"/>
  <c r="U25" i="1"/>
  <c r="V25" i="1" s="1"/>
  <c r="U63" i="1"/>
  <c r="V63" i="1" s="1"/>
  <c r="P154" i="1"/>
  <c r="U123" i="1"/>
  <c r="V123" i="1" s="1"/>
  <c r="U124" i="1"/>
  <c r="V124" i="1" s="1"/>
  <c r="U143" i="1"/>
  <c r="V143" i="1" s="1"/>
  <c r="U125" i="1"/>
  <c r="V125" i="1" s="1"/>
  <c r="U126" i="1"/>
  <c r="V126" i="1" s="1"/>
  <c r="AA143" i="1"/>
  <c r="J143" i="1"/>
  <c r="V7" i="1" l="1"/>
  <c r="AA106" i="1"/>
  <c r="J106" i="1"/>
  <c r="AA107" i="1"/>
  <c r="J107" i="1"/>
  <c r="AA108" i="1"/>
  <c r="J108" i="1"/>
  <c r="L154" i="1" l="1"/>
  <c r="U14" i="1" l="1"/>
  <c r="U142" i="1"/>
  <c r="V142" i="1" s="1"/>
  <c r="U138" i="1"/>
  <c r="V138" i="1" s="1"/>
  <c r="U131" i="1"/>
  <c r="V131" i="1" s="1"/>
  <c r="U127" i="1"/>
  <c r="V127" i="1" s="1"/>
  <c r="U118" i="1"/>
  <c r="V118" i="1" s="1"/>
  <c r="U103" i="1"/>
  <c r="V103" i="1" s="1"/>
  <c r="U82" i="1"/>
  <c r="V82" i="1" s="1"/>
  <c r="U77" i="1"/>
  <c r="V77" i="1" s="1"/>
  <c r="U73" i="1"/>
  <c r="V73" i="1" s="1"/>
  <c r="U18" i="1"/>
  <c r="V18" i="1" s="1"/>
  <c r="U147" i="1"/>
  <c r="V147" i="1" s="1"/>
  <c r="U144" i="1"/>
  <c r="V144" i="1" s="1"/>
  <c r="U139" i="1"/>
  <c r="V139" i="1" s="1"/>
  <c r="U132" i="1"/>
  <c r="V132" i="1" s="1"/>
  <c r="U128" i="1"/>
  <c r="V128" i="1" s="1"/>
  <c r="U83" i="1"/>
  <c r="V83" i="1" s="1"/>
  <c r="U74" i="1"/>
  <c r="V74" i="1" s="1"/>
  <c r="U146" i="1"/>
  <c r="V146" i="1" s="1"/>
  <c r="U141" i="1"/>
  <c r="V141" i="1" s="1"/>
  <c r="U137" i="1"/>
  <c r="V137" i="1" s="1"/>
  <c r="U130" i="1"/>
  <c r="V130" i="1" s="1"/>
  <c r="U117" i="1"/>
  <c r="V117" i="1" s="1"/>
  <c r="U102" i="1"/>
  <c r="V102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4" i="1"/>
  <c r="V104" i="1" s="1"/>
  <c r="U79" i="1"/>
  <c r="V79" i="1" s="1"/>
  <c r="U15" i="1"/>
  <c r="V15" i="1" s="1"/>
  <c r="U145" i="1"/>
  <c r="V145" i="1" s="1"/>
  <c r="U140" i="1"/>
  <c r="V140" i="1" s="1"/>
  <c r="U136" i="1"/>
  <c r="V136" i="1" s="1"/>
  <c r="U129" i="1"/>
  <c r="V129" i="1" s="1"/>
  <c r="U119" i="1"/>
  <c r="V119" i="1" s="1"/>
  <c r="U116" i="1"/>
  <c r="V116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50" i="1" l="1"/>
  <c r="U151" i="1"/>
  <c r="U153" i="1"/>
  <c r="U152" i="1"/>
  <c r="V14" i="1"/>
  <c r="U154" i="1"/>
  <c r="V154" i="1" l="1"/>
  <c r="V153" i="1"/>
  <c r="V151" i="1"/>
  <c r="V150" i="1"/>
  <c r="V152" i="1"/>
  <c r="S154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2" i="1"/>
  <c r="J103" i="1"/>
  <c r="J104" i="1"/>
  <c r="J116" i="1"/>
  <c r="J117" i="1"/>
  <c r="J118" i="1"/>
  <c r="J119" i="1"/>
  <c r="J122" i="1"/>
  <c r="J123" i="1"/>
  <c r="J124" i="1"/>
  <c r="J125" i="1"/>
  <c r="J126" i="1"/>
  <c r="J127" i="1"/>
  <c r="J128" i="1"/>
  <c r="J129" i="1"/>
  <c r="J130" i="1"/>
  <c r="J131" i="1"/>
  <c r="J132" i="1"/>
  <c r="J136" i="1"/>
  <c r="J137" i="1"/>
  <c r="J138" i="1"/>
  <c r="J139" i="1"/>
  <c r="J140" i="1"/>
  <c r="J141" i="1"/>
  <c r="J142" i="1"/>
  <c r="J144" i="1"/>
  <c r="J145" i="1"/>
  <c r="J146" i="1"/>
  <c r="J147" i="1"/>
  <c r="AA4" i="1"/>
  <c r="AA5" i="1"/>
  <c r="AA8" i="1"/>
  <c r="AA14" i="1"/>
  <c r="AA15" i="1"/>
  <c r="AA16" i="1"/>
  <c r="AA17" i="1"/>
  <c r="AA18" i="1"/>
  <c r="AA62" i="1"/>
  <c r="AA69" i="1"/>
  <c r="AA70" i="1"/>
  <c r="AA71" i="1"/>
  <c r="AA72" i="1"/>
  <c r="AA73" i="1"/>
  <c r="AA74" i="1"/>
  <c r="AA75" i="1"/>
  <c r="AA76" i="1"/>
  <c r="AA77" i="1"/>
  <c r="AA79" i="1"/>
  <c r="AA80" i="1"/>
  <c r="AA81" i="1"/>
  <c r="AA82" i="1"/>
  <c r="AA83" i="1"/>
  <c r="AA85" i="1"/>
  <c r="AA102" i="1"/>
  <c r="AA103" i="1"/>
  <c r="AA104" i="1"/>
  <c r="AA116" i="1"/>
  <c r="AA117" i="1"/>
  <c r="AA118" i="1"/>
  <c r="AA119" i="1"/>
  <c r="AA122" i="1"/>
  <c r="AA123" i="1"/>
  <c r="AA124" i="1"/>
  <c r="AA125" i="1"/>
  <c r="AA127" i="1"/>
  <c r="AA128" i="1"/>
  <c r="AA129" i="1"/>
  <c r="AA130" i="1"/>
  <c r="AA131" i="1"/>
  <c r="AA132" i="1"/>
  <c r="AA136" i="1"/>
  <c r="AA137" i="1"/>
  <c r="AA138" i="1"/>
  <c r="AA139" i="1"/>
  <c r="AA140" i="1"/>
  <c r="AA141" i="1"/>
  <c r="AA142" i="1"/>
  <c r="AA144" i="1"/>
  <c r="AA145" i="1"/>
  <c r="AA146" i="1"/>
  <c r="AA147" i="1"/>
  <c r="T154" i="1" l="1"/>
  <c r="R154" i="1" l="1"/>
  <c r="Q151" i="1" l="1"/>
  <c r="Q152" i="1"/>
  <c r="Q150" i="1"/>
  <c r="Q153" i="1"/>
  <c r="Q154" i="1"/>
  <c r="AA126" i="1" l="1"/>
  <c r="X154" i="1"/>
  <c r="Z154" i="1"/>
  <c r="AA154" i="1" l="1"/>
  <c r="AA153" i="1"/>
  <c r="AA150" i="1"/>
  <c r="AA152" i="1"/>
  <c r="AA151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59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0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61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2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<sst xmlns="http://schemas.openxmlformats.org/spreadsheetml/2006/main" count="634" uniqueCount="158">
  <si>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</si>
  <si>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</si>
  <si>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</si>
  <si>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</si>
  <si>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</si>
  <si>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</si>
  <si>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</si>
  <si>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</si>
  <si>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</si>
  <si>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</si>
  <si>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</si>
  <si>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</si>
  <si>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</si>
  <si>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</si>
  <si>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</si>
  <si>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</si>
  <si>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</si>
  <si>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</si>
  <si>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</si>
  <si>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</si>
  <si>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</si>
  <si>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</si>
  <si>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</si>
  <si>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</si>
  <si>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</si>
  <si>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</si>
  <si>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</si>
  <si>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</si>
  <si>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</si>
  <si>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</si>
  <si>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</si>
  <si>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</si>
  <si>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</si>
  <si>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</si>
  <si>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</si>
  <si>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</si>
  <si>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</si>
  <si>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</si>
  <si>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</si>
  <si>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</si>
  <si>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</si>
  <si>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</si>
  <si>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</si>
  <si>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</si>
  <si>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</si>
  <si>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</si>
  <si>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</si>
  <si>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</si>
  <si>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</si>
  <si>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</si>
  <si>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</si>
  <si>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</si>
  <si>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</si>
  <si>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</si>
  <si>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</si>
  <si>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</si>
  <si>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</si>
  <si>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</si>
  <si>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</si>
  <si>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</si>
  <si>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</si>
  <si>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</si>
  <si>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</si>
  <si>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</si>
  <si>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</si>
  <si>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</si>
  <si>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</si>
  <si>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</si>
  <si>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</si>
  <si>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</si>
  <si>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</si>
  <si>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</si>
  <si>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</si>
  <si>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</si>
  <si>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</si>
  <si>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</si>
  <si>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</si>
  <si>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</si>
  <si>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</si>
  <si>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</si>
  <si>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</si>
  <si>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</si>
  <si>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</si>
  <si>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</si>
  <si>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</si>
  <si>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</si>
  <si>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</si>
  <si>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</si>
  <si>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</si>
  <si>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</si>
  <si>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</si>
  <si>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</si>
  <si>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</si>
  <si>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</si>
  <si>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</si>
  <si>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</si>
  <si>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</si>
  <si>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</si>
  <si>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</si>
  <si>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</si>
  <si>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</si>
  <si>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</si>
  <si>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</si>
  <si>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</si>
  <si>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</si>
  <si>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</si>
  <si>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</si>
  <si>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</si>
  <si>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</si>
  <si>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</si>
  <si>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</si>
  <si>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</si>
  <si>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</si>
  <si>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</si>
  <si>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</si>
  <si>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</si>
  <si>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</si>
  <si>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</si>
  <si>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</si>
  <si>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</si>
  <si>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</si>
  <si>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</si>
  <si>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</si>
  <si>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</si>
  <si>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</si>
  <si>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</si>
  <si>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</si>
  <si>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</si>
  <si>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</si>
  <si>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</si>
  <si>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</si>
  <si>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</si>
  <si>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</si>
  <si>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</si>
  <si>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</si>
  <si>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</si>
  <si>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</si>
  <si>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</si>
  <si>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</si>
  <si>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</si>
  <si>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</si>
  <si>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</si>
  <si>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</si>
  <si>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</si>
  <si>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</si>
  <si>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</si>
  <si>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</si>
  <si>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</si>
  <si>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</si>
  <si>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</si>
  <si>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</si>
  <si>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</si>
  <si>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</si>
  <si>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</si>
  <si>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</si>
  <si>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</si>
  <si>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</si>
  <si>
    <t>io-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</si>
</sst>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40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 applyAlignment="1"/>
    <xf numFmtId="1" fontId="0" fillId="0" borderId="67" xfId="0" applyNumberFormat="1" applyFill="1" applyBorder="1"/>
    <xf numFmtId="8" fontId="4" fillId="0" borderId="73" xfId="0" applyNumberFormat="1" applyFont="1" applyBorder="1"/>
    <xf numFmtId="167" fontId="0" fillId="0" borderId="23" xfId="0" applyNumberFormat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8"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92.657777777777767</c:v>
                </c:pt>
                <c:pt idx="1">
                  <c:v>17.962926666666672</c:v>
                </c:pt>
                <c:pt idx="2">
                  <c:v>13.791287999999998</c:v>
                </c:pt>
                <c:pt idx="3">
                  <c:v>9.4482599999999994</c:v>
                </c:pt>
                <c:pt idx="4">
                  <c:v>7.6608972727272722</c:v>
                </c:pt>
                <c:pt idx="5">
                  <c:v>11.714556000000002</c:v>
                </c:pt>
                <c:pt idx="6">
                  <c:v>7.7891587878787893</c:v>
                </c:pt>
                <c:pt idx="7">
                  <c:v>7.5836230000000002</c:v>
                </c:pt>
                <c:pt idx="8">
                  <c:v>5.6202742222222222</c:v>
                </c:pt>
                <c:pt idx="9">
                  <c:v>6.7393827777777782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6585176"/>
        <c:axId val="616584000"/>
      </c:barChart>
      <c:catAx>
        <c:axId val="616585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4000"/>
        <c:crosses val="autoZero"/>
        <c:auto val="1"/>
        <c:lblAlgn val="ctr"/>
        <c:lblOffset val="100"/>
        <c:noMultiLvlLbl val="0"/>
      </c:catAx>
      <c:valAx>
        <c:axId val="61658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5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0.6036199733333335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6588312"/>
        <c:axId val="616590272"/>
      </c:barChart>
      <c:catAx>
        <c:axId val="616588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90272"/>
        <c:crosses val="autoZero"/>
        <c:auto val="1"/>
        <c:lblAlgn val="ctr"/>
        <c:lblOffset val="100"/>
        <c:noMultiLvlLbl val="0"/>
      </c:catAx>
      <c:valAx>
        <c:axId val="616590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8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6.0361997333333335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6584392"/>
        <c:axId val="616587920"/>
      </c:barChart>
      <c:catAx>
        <c:axId val="616584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7920"/>
        <c:crosses val="autoZero"/>
        <c:auto val="1"/>
        <c:lblAlgn val="ctr"/>
        <c:lblOffset val="100"/>
        <c:noMultiLvlLbl val="0"/>
      </c:catAx>
      <c:valAx>
        <c:axId val="6165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48.303091458333334</c:v>
                </c:pt>
                <c:pt idx="1">
                  <c:v>47.986666666666672</c:v>
                </c:pt>
                <c:pt idx="2">
                  <c:v>48.093823333333333</c:v>
                </c:pt>
                <c:pt idx="3">
                  <c:v>46.856273823529413</c:v>
                </c:pt>
                <c:pt idx="4">
                  <c:v>53.38060287878789</c:v>
                </c:pt>
                <c:pt idx="5">
                  <c:v>19.221055555555555</c:v>
                </c:pt>
                <c:pt idx="6">
                  <c:v>49.794358974358971</c:v>
                </c:pt>
                <c:pt idx="7">
                  <c:v>463.28888888888883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6587136"/>
        <c:axId val="616587528"/>
      </c:barChart>
      <c:catAx>
        <c:axId val="616587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7528"/>
        <c:crosses val="autoZero"/>
        <c:auto val="1"/>
        <c:lblAlgn val="ctr"/>
        <c:lblOffset val="100"/>
        <c:noMultiLvlLbl val="0"/>
      </c:catAx>
      <c:valAx>
        <c:axId val="61658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6586744"/>
        <c:axId val="616589488"/>
      </c:barChart>
      <c:catAx>
        <c:axId val="616586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9488"/>
        <c:crosses val="autoZero"/>
        <c:auto val="1"/>
        <c:lblAlgn val="ctr"/>
        <c:lblOffset val="100"/>
        <c:noMultiLvlLbl val="0"/>
      </c:catAx>
      <c:valAx>
        <c:axId val="61658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586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Table'!$C$3:$C$149</c:f>
              <c:strCache>
                <c:ptCount val="14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HDKFB06</c:v>
                </c:pt>
                <c:pt idx="97">
                  <c:v>L200</c:v>
                </c:pt>
                <c:pt idx="98">
                  <c:v>L200</c:v>
                </c:pt>
                <c:pt idx="99">
                  <c:v>N300</c:v>
                </c:pt>
                <c:pt idx="100">
                  <c:v>N300</c:v>
                </c:pt>
                <c:pt idx="101">
                  <c:v>N300</c:v>
                </c:pt>
                <c:pt idx="102">
                  <c:v>N300</c:v>
                </c:pt>
                <c:pt idx="103">
                  <c:v>P300</c:v>
                </c:pt>
                <c:pt idx="104">
                  <c:v>P300</c:v>
                </c:pt>
                <c:pt idx="105">
                  <c:v>P300</c:v>
                </c:pt>
                <c:pt idx="106">
                  <c:v>X300</c:v>
                </c:pt>
                <c:pt idx="107">
                  <c:v>X300</c:v>
                </c:pt>
                <c:pt idx="108">
                  <c:v>X300</c:v>
                </c:pt>
                <c:pt idx="109">
                  <c:v>X300</c:v>
                </c:pt>
                <c:pt idx="110">
                  <c:v>X300</c:v>
                </c:pt>
                <c:pt idx="111">
                  <c:v>Ae</c:v>
                </c:pt>
                <c:pt idx="112">
                  <c:v>Black</c:v>
                </c:pt>
                <c:pt idx="113">
                  <c:v>Black</c:v>
                </c:pt>
                <c:pt idx="114">
                  <c:v>Black</c:v>
                </c:pt>
                <c:pt idx="115">
                  <c:v>Black</c:v>
                </c:pt>
                <c:pt idx="116">
                  <c:v>Black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Blue</c:v>
                </c:pt>
                <c:pt idx="121">
                  <c:v>Blue</c:v>
                </c:pt>
                <c:pt idx="122">
                  <c:v>Blue</c:v>
                </c:pt>
                <c:pt idx="123">
                  <c:v>Blue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Gold Enterprise</c:v>
                </c:pt>
                <c:pt idx="128">
                  <c:v>Gold Enterprise</c:v>
                </c:pt>
                <c:pt idx="129">
                  <c:v>Gold Enterprise</c:v>
                </c:pt>
                <c:pt idx="130">
                  <c:v>Gold Enterprise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</c:v>
                </c:pt>
                <c:pt idx="138">
                  <c:v>Red NAS</c:v>
                </c:pt>
                <c:pt idx="139">
                  <c:v>Red NAS</c:v>
                </c:pt>
                <c:pt idx="140">
                  <c:v>Red NAS</c:v>
                </c:pt>
                <c:pt idx="141">
                  <c:v>RED NAS Pro</c:v>
                </c:pt>
                <c:pt idx="142">
                  <c:v>RED NAS Pro</c:v>
                </c:pt>
                <c:pt idx="143">
                  <c:v>RED NAS Pro</c:v>
                </c:pt>
                <c:pt idx="144">
                  <c:v>RED NAS Pro</c:v>
                </c:pt>
                <c:pt idx="145">
                  <c:v>RED NAS Pro</c:v>
                </c:pt>
                <c:pt idx="14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Table'!$F$3:$F$150</c:f>
              <c:numCache>
                <c:formatCode>0.00</c:formatCode>
                <c:ptCount val="14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3</c:v>
                </c:pt>
                <c:pt idx="97">
                  <c:v>1</c:v>
                </c:pt>
                <c:pt idx="98">
                  <c:v>2</c:v>
                </c:pt>
                <c:pt idx="99">
                  <c:v>4</c:v>
                </c:pt>
                <c:pt idx="100">
                  <c:v>6</c:v>
                </c:pt>
                <c:pt idx="101">
                  <c:v>8</c:v>
                </c:pt>
                <c:pt idx="102">
                  <c:v>10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5</c:v>
                </c:pt>
                <c:pt idx="108">
                  <c:v>6</c:v>
                </c:pt>
                <c:pt idx="109">
                  <c:v>8</c:v>
                </c:pt>
                <c:pt idx="110">
                  <c:v>10</c:v>
                </c:pt>
                <c:pt idx="111">
                  <c:v>6</c:v>
                </c:pt>
                <c:pt idx="112">
                  <c:v>1</c:v>
                </c:pt>
                <c:pt idx="113">
                  <c:v>1</c:v>
                </c:pt>
                <c:pt idx="114">
                  <c:v>2</c:v>
                </c:pt>
                <c:pt idx="115">
                  <c:v>4</c:v>
                </c:pt>
                <c:pt idx="116">
                  <c:v>6</c:v>
                </c:pt>
                <c:pt idx="117">
                  <c:v>1</c:v>
                </c:pt>
                <c:pt idx="118">
                  <c:v>2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6</c:v>
                </c:pt>
                <c:pt idx="124">
                  <c:v>1</c:v>
                </c:pt>
                <c:pt idx="125">
                  <c:v>2</c:v>
                </c:pt>
                <c:pt idx="126">
                  <c:v>4</c:v>
                </c:pt>
                <c:pt idx="127">
                  <c:v>6</c:v>
                </c:pt>
                <c:pt idx="128">
                  <c:v>8</c:v>
                </c:pt>
                <c:pt idx="129">
                  <c:v>10</c:v>
                </c:pt>
                <c:pt idx="130">
                  <c:v>12</c:v>
                </c:pt>
                <c:pt idx="131">
                  <c:v>0.75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3</c:v>
                </c:pt>
                <c:pt idx="136">
                  <c:v>4</c:v>
                </c:pt>
                <c:pt idx="137">
                  <c:v>5</c:v>
                </c:pt>
                <c:pt idx="138">
                  <c:v>6</c:v>
                </c:pt>
                <c:pt idx="139">
                  <c:v>8</c:v>
                </c:pt>
                <c:pt idx="140">
                  <c:v>10</c:v>
                </c:pt>
                <c:pt idx="141">
                  <c:v>2</c:v>
                </c:pt>
                <c:pt idx="142">
                  <c:v>3</c:v>
                </c:pt>
                <c:pt idx="143">
                  <c:v>4</c:v>
                </c:pt>
                <c:pt idx="144">
                  <c:v>6</c:v>
                </c:pt>
                <c:pt idx="145">
                  <c:v>8</c:v>
                </c:pt>
                <c:pt idx="146">
                  <c:v>10</c:v>
                </c:pt>
                <c:pt idx="147">
                  <c:v>0.6</c:v>
                </c:pt>
              </c:numCache>
            </c:numRef>
          </c:xVal>
          <c:yVal>
            <c:numRef>
              <c:f>'Drive Table'!$X$3:$X$150</c:f>
              <c:numCache>
                <c:formatCode>"$"#,##0.00</c:formatCode>
                <c:ptCount val="148"/>
                <c:pt idx="0">
                  <c:v>24.995000000000001</c:v>
                </c:pt>
                <c:pt idx="1">
                  <c:v>29.324999999999999</c:v>
                </c:pt>
                <c:pt idx="2">
                  <c:v>31.236249999999998</c:v>
                </c:pt>
                <c:pt idx="3">
                  <c:v>28.999000000000002</c:v>
                </c:pt>
                <c:pt idx="4">
                  <c:v>48.99</c:v>
                </c:pt>
                <c:pt idx="5">
                  <c:v>58.75</c:v>
                </c:pt>
                <c:pt idx="6">
                  <c:v>53.9</c:v>
                </c:pt>
                <c:pt idx="7">
                  <c:v>60.69</c:v>
                </c:pt>
                <c:pt idx="8">
                  <c:v>60.445</c:v>
                </c:pt>
                <c:pt idx="9">
                  <c:v>56.666666666666664</c:v>
                </c:pt>
                <c:pt idx="10">
                  <c:v>29.897500000000001</c:v>
                </c:pt>
                <c:pt idx="11">
                  <c:v>77.105000000000004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283.31666666666672</c:v>
                </c:pt>
                <c:pt idx="20">
                  <c:v>54.425000000000004</c:v>
                </c:pt>
                <c:pt idx="21">
                  <c:v>41.323749999999997</c:v>
                </c:pt>
                <c:pt idx="22">
                  <c:v>34.456000000000003</c:v>
                </c:pt>
                <c:pt idx="23">
                  <c:v>35.832500000000003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44.28</c:v>
                </c:pt>
                <c:pt idx="34">
                  <c:v>29.495000000000001</c:v>
                </c:pt>
                <c:pt idx="35">
                  <c:v>23.33</c:v>
                </c:pt>
                <c:pt idx="36">
                  <c:v>21.247499999999999</c:v>
                </c:pt>
                <c:pt idx="37">
                  <c:v>28.331666666666667</c:v>
                </c:pt>
                <c:pt idx="38">
                  <c:v>21.248750000000001</c:v>
                </c:pt>
                <c:pt idx="39">
                  <c:v>55.185000000000002</c:v>
                </c:pt>
                <c:pt idx="40">
                  <c:v>43.747500000000002</c:v>
                </c:pt>
                <c:pt idx="41">
                  <c:v>26.331666666666667</c:v>
                </c:pt>
                <c:pt idx="42">
                  <c:v>34.078749999999999</c:v>
                </c:pt>
                <c:pt idx="43">
                  <c:v>36.683999999999997</c:v>
                </c:pt>
                <c:pt idx="44">
                  <c:v>36.665833333333332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176.27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34.997500000000002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40.623750000000001</c:v>
                </c:pt>
                <c:pt idx="62">
                  <c:v>34.85</c:v>
                </c:pt>
                <c:pt idx="63">
                  <c:v>47.285833333333329</c:v>
                </c:pt>
                <c:pt idx="64">
                  <c:v>52.99</c:v>
                </c:pt>
                <c:pt idx="65">
                  <c:v>37.494999999999997</c:v>
                </c:pt>
                <c:pt idx="66">
                  <c:v>63.99</c:v>
                </c:pt>
                <c:pt idx="67">
                  <c:v>34.994999999999997</c:v>
                </c:pt>
                <c:pt idx="68">
                  <c:v>59.99</c:v>
                </c:pt>
                <c:pt idx="69">
                  <c:v>38.774999999999999</c:v>
                </c:pt>
                <c:pt idx="70">
                  <c:v>24.66333333333333</c:v>
                </c:pt>
                <c:pt idx="71">
                  <c:v>29.647500000000001</c:v>
                </c:pt>
                <c:pt idx="72">
                  <c:v>30.831666666666667</c:v>
                </c:pt>
                <c:pt idx="73">
                  <c:v>31.122499999999999</c:v>
                </c:pt>
                <c:pt idx="74">
                  <c:v>28.499000000000002</c:v>
                </c:pt>
                <c:pt idx="75">
                  <c:v>32.499166666666667</c:v>
                </c:pt>
                <c:pt idx="76">
                  <c:v>64.995000000000005</c:v>
                </c:pt>
                <c:pt idx="77">
                  <c:v>43.747500000000002</c:v>
                </c:pt>
                <c:pt idx="78">
                  <c:v>26.831666666666667</c:v>
                </c:pt>
                <c:pt idx="79">
                  <c:v>36.248750000000001</c:v>
                </c:pt>
                <c:pt idx="80">
                  <c:v>35.311</c:v>
                </c:pt>
                <c:pt idx="81">
                  <c:v>37.830833333333338</c:v>
                </c:pt>
                <c:pt idx="82">
                  <c:v>44.03</c:v>
                </c:pt>
                <c:pt idx="83">
                  <c:v>39.99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241.65833333333336</c:v>
                </c:pt>
                <c:pt idx="92">
                  <c:v>222.21666666666667</c:v>
                </c:pt>
                <c:pt idx="93">
                  <c:v>0</c:v>
                </c:pt>
                <c:pt idx="94">
                  <c:v>499.98333333333335</c:v>
                </c:pt>
                <c:pt idx="95">
                  <c:v>166.66666666666666</c:v>
                </c:pt>
                <c:pt idx="96">
                  <c:v>42.896666666666668</c:v>
                </c:pt>
                <c:pt idx="97">
                  <c:v>44.99</c:v>
                </c:pt>
                <c:pt idx="98">
                  <c:v>0</c:v>
                </c:pt>
                <c:pt idx="99">
                  <c:v>24.997499999999999</c:v>
                </c:pt>
                <c:pt idx="100">
                  <c:v>31.665000000000003</c:v>
                </c:pt>
                <c:pt idx="101">
                  <c:v>30.625</c:v>
                </c:pt>
                <c:pt idx="102">
                  <c:v>0</c:v>
                </c:pt>
                <c:pt idx="103">
                  <c:v>46.99</c:v>
                </c:pt>
                <c:pt idx="104">
                  <c:v>35.46</c:v>
                </c:pt>
                <c:pt idx="105">
                  <c:v>19.996666666666666</c:v>
                </c:pt>
                <c:pt idx="106">
                  <c:v>23.372499999999999</c:v>
                </c:pt>
                <c:pt idx="107">
                  <c:v>22.998000000000001</c:v>
                </c:pt>
                <c:pt idx="108">
                  <c:v>30.155000000000001</c:v>
                </c:pt>
                <c:pt idx="109">
                  <c:v>30.748750000000001</c:v>
                </c:pt>
                <c:pt idx="110">
                  <c:v>37.46</c:v>
                </c:pt>
                <c:pt idx="111">
                  <c:v>39.333333333333336</c:v>
                </c:pt>
                <c:pt idx="112">
                  <c:v>59.99</c:v>
                </c:pt>
                <c:pt idx="113">
                  <c:v>56.989999999999995</c:v>
                </c:pt>
                <c:pt idx="114">
                  <c:v>57.494999999999997</c:v>
                </c:pt>
                <c:pt idx="115">
                  <c:v>45.747500000000002</c:v>
                </c:pt>
                <c:pt idx="116">
                  <c:v>41.228333333333332</c:v>
                </c:pt>
                <c:pt idx="117">
                  <c:v>44.99</c:v>
                </c:pt>
                <c:pt idx="118">
                  <c:v>68.125</c:v>
                </c:pt>
                <c:pt idx="119">
                  <c:v>43.5</c:v>
                </c:pt>
                <c:pt idx="120">
                  <c:v>26.995000000000001</c:v>
                </c:pt>
                <c:pt idx="121">
                  <c:v>30.66333333333333</c:v>
                </c:pt>
                <c:pt idx="122">
                  <c:v>26.247499999999999</c:v>
                </c:pt>
                <c:pt idx="123">
                  <c:v>29.498333333333335</c:v>
                </c:pt>
                <c:pt idx="124">
                  <c:v>81.69</c:v>
                </c:pt>
                <c:pt idx="125">
                  <c:v>59.5</c:v>
                </c:pt>
                <c:pt idx="126">
                  <c:v>43.747500000000002</c:v>
                </c:pt>
                <c:pt idx="127">
                  <c:v>39.164999999999999</c:v>
                </c:pt>
                <c:pt idx="128">
                  <c:v>40.611249999999998</c:v>
                </c:pt>
                <c:pt idx="129">
                  <c:v>38.499000000000002</c:v>
                </c:pt>
                <c:pt idx="130">
                  <c:v>41.583333333333336</c:v>
                </c:pt>
                <c:pt idx="131">
                  <c:v>82.626666666666665</c:v>
                </c:pt>
                <c:pt idx="132">
                  <c:v>72.23</c:v>
                </c:pt>
                <c:pt idx="133">
                  <c:v>62</c:v>
                </c:pt>
                <c:pt idx="134">
                  <c:v>41.994999999999997</c:v>
                </c:pt>
                <c:pt idx="135">
                  <c:v>35.996666666666663</c:v>
                </c:pt>
                <c:pt idx="136">
                  <c:v>31.247499999999999</c:v>
                </c:pt>
                <c:pt idx="137">
                  <c:v>49.798000000000002</c:v>
                </c:pt>
                <c:pt idx="138">
                  <c:v>28.831666666666667</c:v>
                </c:pt>
                <c:pt idx="139">
                  <c:v>34.373750000000001</c:v>
                </c:pt>
                <c:pt idx="140">
                  <c:v>32.499000000000002</c:v>
                </c:pt>
                <c:pt idx="141">
                  <c:v>54.994999999999997</c:v>
                </c:pt>
                <c:pt idx="142">
                  <c:v>77.963333333333324</c:v>
                </c:pt>
                <c:pt idx="143">
                  <c:v>48.994999999999997</c:v>
                </c:pt>
                <c:pt idx="144">
                  <c:v>38.164999999999999</c:v>
                </c:pt>
                <c:pt idx="145">
                  <c:v>42.661250000000003</c:v>
                </c:pt>
                <c:pt idx="146">
                  <c:v>39.750999999999998</c:v>
                </c:pt>
                <c:pt idx="147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561588512"/>
        <c:axId val="561588904"/>
      </c:scatterChart>
      <c:valAx>
        <c:axId val="561588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1588904"/>
        <c:crosses val="autoZero"/>
        <c:crossBetween val="midCat"/>
      </c:valAx>
      <c:valAx>
        <c:axId val="561588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1588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298.796362152774" createdVersion="6" refreshedVersion="6" minRefreshableVersion="3" recordCount="142">
  <cacheSource type="worksheet">
    <worksheetSource ref="A2:AA144" sheet="Drive Table" r:id="rId2"/>
  </cacheSource>
  <cacheFields count="27">
    <cacheField name="Date" numFmtId="14">
      <sharedItems containsDate="1" containsMixedTypes="1" minDate="2017-10-19T00:00:00" maxDate="2018-07-18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tring="0" containsBlank="1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" maxValue="9.291705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SemiMixedTypes="0" containsString="0" containsNumber="1" minValue="0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499.98333333333335"/>
    </cacheField>
    <cacheField name="$ TB/year" numFmtId="164">
      <sharedItems containsSemiMixedTypes="0" containsString="0" containsNumber="1" minValue="0" maxValue="99.996666666666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298.796362499997" createdVersion="6" refreshedVersion="6" minRefreshableVersion="3" recordCount="147">
  <cacheSource type="worksheet">
    <worksheetSource name="Table5" r:id="rId2"/>
  </cacheSource>
  <cacheFields count="30">
    <cacheField name="Date" numFmtId="14">
      <sharedItems containsDate="1" containsMixedTypes="1" minDate="2017-10-19T00:00:00" maxDate="2018-07-18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tring="0" containsBlank="1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" maxValue="9.291705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SemiMixedTypes="0" containsString="0" containsNumber="1" minValue="0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499.98333333333335"/>
    </cacheField>
    <cacheField name="$ TB/year" numFmtId="164">
      <sharedItems containsSemiMixedTypes="0" containsString="0" containsNumber="1" minValue="0" maxValue="99.99666666666667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d v="2018-07-02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99.98"/>
    <n v="24.995000000000001"/>
    <n v="121.9756"/>
    <n v="30.4939"/>
    <n v="6.0987799999999996"/>
  </r>
  <r>
    <d v="2018-07-17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75.95"/>
    <n v="29.324999999999999"/>
    <n v="214.65899999999999"/>
    <n v="35.776499999999999"/>
    <n v="7.1552999999999995"/>
  </r>
  <r>
    <d v="2018-07-03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49.89"/>
    <n v="31.236249999999998"/>
    <n v="304.86579999999998"/>
    <n v="38.108224999999997"/>
    <n v="7.6216449999999991"/>
  </r>
  <r>
    <d v="2018-07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89.99"/>
    <n v="28.999000000000002"/>
    <n v="353.7878"/>
    <n v="35.378779999999999"/>
    <n v="7.0757560000000002"/>
  </r>
  <r>
    <d v="2018-07-1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8.99"/>
    <n v="48.99"/>
    <n v="59.767800000000001"/>
    <n v="59.767800000000001"/>
    <n v="11.95356"/>
  </r>
  <r>
    <d v="2018-07-17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8.75"/>
    <n v="58.75"/>
    <n v="71.674999999999997"/>
    <n v="71.674999999999997"/>
    <n v="14.334999999999999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7-17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0.89"/>
    <n v="60.445"/>
    <n v="120.89"/>
    <n v="60.445"/>
    <n v="12.089"/>
  </r>
  <r>
    <d v="2018-07-03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</r>
  <r>
    <d v="2018-07-17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</r>
  <r>
    <d v="2018-07-17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8-03-20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8.5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8.5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8.5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8-07-03T00:00:00"/>
    <s v="HGST"/>
    <s v="Ultrastar C15K600"/>
    <x v="0"/>
    <x v="1"/>
    <x v="11"/>
    <n v="15030"/>
    <n v="1.99"/>
    <n v="8.5"/>
    <n v="1.7833333333333332"/>
    <n v="250"/>
    <n v="5"/>
    <m/>
    <m/>
    <n v="2000000"/>
    <n v="1E+17"/>
    <m/>
    <n v="7.5"/>
    <n v="5.8"/>
    <m/>
    <n v="6.7277208000000002"/>
    <n v="11.212868"/>
    <n v="169.99"/>
    <n v="283.31666666666672"/>
    <n v="169.99"/>
    <n v="283.31666666666672"/>
    <n v="56.663333333333341"/>
  </r>
  <r>
    <d v="2018-07-03T00:00:00"/>
    <s v="HGST"/>
    <s v="Ultrastar He6"/>
    <x v="0"/>
    <x v="0"/>
    <x v="1"/>
    <n v="7200"/>
    <n v="4.16"/>
    <n v="8.5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</r>
  <r>
    <d v="2018-07-03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</r>
  <r>
    <d v="2018-07-03T00:00:00"/>
    <s v="HGST"/>
    <s v="Ultrastar He10"/>
    <x v="0"/>
    <x v="0"/>
    <x v="3"/>
    <n v="7200"/>
    <n v="4.16"/>
    <n v="8.5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</r>
  <r>
    <d v="2018-07-03T00:00:00"/>
    <s v="HGST"/>
    <s v="Ultrastar He12"/>
    <x v="0"/>
    <x v="0"/>
    <x v="12"/>
    <n v="7200"/>
    <n v="4.16"/>
    <n v="8.5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</r>
  <r>
    <d v="2018-01-27T00:00:00"/>
    <s v="HGST"/>
    <s v="Ultrastar Hs14"/>
    <x v="2"/>
    <x v="0"/>
    <x v="13"/>
    <n v="7200"/>
    <n v="4.16"/>
    <n v="8.5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6-08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3-31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</r>
  <r>
    <d v="2018-07-17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8.99"/>
    <n v="29.495000000000001"/>
    <n v="78.456699999999998"/>
    <n v="39.228349999999999"/>
    <n v="7.8456700000000001"/>
  </r>
  <r>
    <d v="2018-06-08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8-07-03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</r>
  <r>
    <d v="2018-03-31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</r>
  <r>
    <d v="2018-04-17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169.99"/>
    <n v="21.248750000000001"/>
    <n v="226.08670000000001"/>
    <n v="28.260837500000001"/>
    <n v="5.6521675"/>
  </r>
  <r>
    <d v="2018-07-17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</r>
  <r>
    <d v="2018-07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8-07-17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</r>
  <r>
    <d v="2018-07-17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</r>
  <r>
    <d v="2018-07-17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</r>
  <r>
    <d v="2018-03-31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8-03-07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16.96"/>
    <n v="463.28888888888883"/>
    <n v="416.96"/>
    <n v="463.28888888888883"/>
    <n v="92.657777777777767"/>
  </r>
  <r>
    <d v="2018-03-07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7-17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76.27"/>
    <n v="176.27"/>
    <n v="176.27"/>
    <n v="176.27"/>
    <n v="35.254000000000005"/>
  </r>
  <r>
    <d v="2018-03-07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270"/>
    <n v="135"/>
    <n v="270"/>
    <n v="135"/>
    <n v="27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7-17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</r>
  <r>
    <d v="2018-07-17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139.99"/>
    <n v="34.997500000000002"/>
    <n v="129.99"/>
    <n v="32.497500000000002"/>
    <n v="6.4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8-04-18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</r>
  <r>
    <d v="2018-03-20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48.5"/>
    <n v="34.85"/>
    <n v="348.5"/>
    <n v="34.85"/>
    <n v="6.9700000000000006"/>
  </r>
  <r>
    <d v="2018-07-17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</r>
  <r>
    <d v="2018-07-17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52.99"/>
    <n v="52.99"/>
    <n v="52.99"/>
    <n v="52.99"/>
    <n v="10.598000000000001"/>
  </r>
  <r>
    <d v="2018-05-30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74.989999999999995"/>
    <n v="37.494999999999997"/>
    <n v="74.989999999999995"/>
    <n v="37.494999999999997"/>
    <n v="7.4989999999999997"/>
  </r>
  <r>
    <d v="2018-07-03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3.99"/>
    <n v="63.99"/>
    <n v="63.99"/>
    <n v="63.99"/>
    <n v="12.798"/>
  </r>
  <r>
    <d v="2018-07-17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</r>
  <r>
    <d v="2018-05-30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</r>
  <r>
    <d v="2018-05-30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77.55"/>
    <n v="38.774999999999999"/>
    <n v="94.61099999999999"/>
    <n v="47.305499999999995"/>
    <n v="9.4610999999999983"/>
  </r>
  <r>
    <d v="2018-07-17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73.989999999999995"/>
    <n v="24.66333333333333"/>
    <n v="90.267799999999994"/>
    <n v="30.089266666666663"/>
    <n v="6.0178533333333331"/>
  </r>
  <r>
    <d v="2018-07-17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8.59"/>
    <n v="29.647500000000001"/>
    <n v="144.6798"/>
    <n v="36.16995"/>
    <n v="7.2339900000000004"/>
  </r>
  <r>
    <d v="2018-07-17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4.99"/>
    <n v="30.831666666666667"/>
    <n v="225.68780000000001"/>
    <n v="37.614633333333337"/>
    <n v="7.5229266666666676"/>
  </r>
  <r>
    <d v="2018-07-17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48.98"/>
    <n v="31.122499999999999"/>
    <n v="303.75559999999996"/>
    <n v="37.969449999999995"/>
    <n v="7.5938899999999991"/>
  </r>
  <r>
    <d v="2018-06-08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84.99"/>
    <n v="28.499000000000002"/>
    <n v="347.68780000000004"/>
    <n v="34.768780000000007"/>
    <n v="6.9537560000000012"/>
  </r>
  <r>
    <d v="2018-07-03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</r>
  <r>
    <d v="2018-07-03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</r>
  <r>
    <d v="2018-07-03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</r>
  <r>
    <d v="2018-07-17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</r>
  <r>
    <d v="2018-07-03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</r>
  <r>
    <d v="2018-07-03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53.11"/>
    <n v="35.311"/>
    <n v="353.11"/>
    <n v="35.311"/>
    <n v="7.0621999999999998"/>
  </r>
  <r>
    <d v="2018-07-03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</r>
  <r>
    <d v="2018-03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76.12"/>
    <n v="44.03"/>
    <n v="214.8664"/>
    <n v="53.7166"/>
    <n v="10.743320000000001"/>
  </r>
  <r>
    <d v="2018-06-08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n v="0"/>
    <n v="0"/>
    <n v="0"/>
    <n v="0"/>
  </r>
  <r>
    <d v="2018-07-03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89.99"/>
    <n v="241.65833333333336"/>
    <n v="289.99"/>
    <n v="241.65833333333336"/>
    <n v="48.331666666666671"/>
  </r>
  <r>
    <d v="2018-07-03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8-07-03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99.99"/>
    <n v="499.98333333333335"/>
    <n v="299.99"/>
    <n v="499.98333333333335"/>
    <n v="99.99666666666667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7-03T00:00:00"/>
    <s v="Toshiba"/>
    <s v="HDKFB06"/>
    <x v="1"/>
    <x v="1"/>
    <x v="6"/>
    <n v="5400"/>
    <m/>
    <m/>
    <n v="0"/>
    <m/>
    <m/>
    <m/>
    <m/>
    <m/>
    <m/>
    <m/>
    <m/>
    <m/>
    <m/>
    <m/>
    <m/>
    <n v="128.69"/>
    <n v="42.896666666666668"/>
    <n v="199.46949999999998"/>
    <n v="66.489833333333323"/>
    <n v="13.297966666666664"/>
  </r>
  <r>
    <d v="2018-07-03T00:00:00"/>
    <s v="Toshiba"/>
    <s v="L200"/>
    <x v="1"/>
    <x v="1"/>
    <x v="4"/>
    <n v="5400"/>
    <n v="5.56"/>
    <m/>
    <n v="0"/>
    <m/>
    <n v="2"/>
    <m/>
    <m/>
    <m/>
    <n v="100000000000000"/>
    <m/>
    <n v="1.5"/>
    <n v="0.55000000000000004"/>
    <m/>
    <n v="0.81083280000000013"/>
    <n v="0.81083280000000013"/>
    <n v="44.99"/>
    <n v="44.99"/>
    <n v="59.8367"/>
    <n v="59.8367"/>
    <n v="11.96734"/>
  </r>
  <r>
    <d v="2018-07-03T00:00:00"/>
    <s v="Toshiba"/>
    <s v="L200"/>
    <x v="1"/>
    <x v="1"/>
    <x v="5"/>
    <n v="5400"/>
    <m/>
    <m/>
    <n v="0"/>
    <m/>
    <n v="2"/>
    <m/>
    <m/>
    <m/>
    <n v="100000000000000"/>
    <m/>
    <m/>
    <m/>
    <m/>
    <n v="0"/>
    <n v="0"/>
    <m/>
    <n v="0"/>
    <n v="0"/>
    <n v="0"/>
    <n v="0"/>
  </r>
  <r>
    <d v="2018-07-17T00:00:00"/>
    <s v="Toshiba"/>
    <s v="N300"/>
    <x v="0"/>
    <x v="0"/>
    <x v="0"/>
    <n v="7200"/>
    <n v="4.17"/>
    <m/>
    <n v="0.33333333333333326"/>
    <n v="200"/>
    <n v="3"/>
    <n v="300000"/>
    <n v="180"/>
    <n v="100000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</r>
  <r>
    <d v="2018-07-17T00:00:00"/>
    <s v="Toshiba"/>
    <s v="N300"/>
    <x v="0"/>
    <x v="0"/>
    <x v="1"/>
    <n v="7200"/>
    <n v="4.17"/>
    <m/>
    <n v="0.33333333333333326"/>
    <n v="210"/>
    <n v="3"/>
    <n v="300000"/>
    <n v="180"/>
    <n v="100000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</r>
  <r>
    <d v="2018-07-17T00:00:00"/>
    <s v="Toshiba"/>
    <s v="N300"/>
    <x v="0"/>
    <x v="0"/>
    <x v="2"/>
    <n v="7200"/>
    <n v="4.17"/>
    <m/>
    <n v="0.33333333333333326"/>
    <n v="240"/>
    <n v="3"/>
    <n v="300000"/>
    <n v="180"/>
    <n v="100000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</r>
  <r>
    <s v="io-"/>
    <s v="Toshiba"/>
    <s v="N300"/>
    <x v="0"/>
    <x v="0"/>
    <x v="3"/>
    <n v="7200"/>
    <n v="4.17"/>
    <m/>
    <n v="0.33333333333333326"/>
    <n v="240"/>
    <n v="3"/>
    <n v="300000"/>
    <n v="180"/>
    <n v="1000000"/>
    <n v="100000000000000"/>
    <m/>
    <n v="9.1999999999999993"/>
    <n v="7.2"/>
    <m/>
    <n v="8.3274720000000002"/>
    <n v="0.83274720000000002"/>
    <m/>
    <n v="0"/>
    <n v="0"/>
    <n v="0"/>
    <n v="0"/>
  </r>
  <r>
    <d v="2018-07-17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6.99"/>
    <n v="46.99"/>
    <n v="62.496700000000004"/>
    <n v="62.496700000000004"/>
    <n v="12.49934"/>
  </r>
  <r>
    <d v="2018-07-17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70.92"/>
    <n v="35.46"/>
    <n v="94.323599999999999"/>
    <n v="47.161799999999999"/>
    <n v="9.4323599999999992"/>
  </r>
  <r>
    <d v="2018-07-17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59.989999999999995"/>
    <n v="19.996666666666666"/>
    <n v="79.786699999999996"/>
    <n v="26.595566666666667"/>
    <n v="5.3191133333333331"/>
  </r>
  <r>
    <d v="2018-07-17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</r>
  <r>
    <d v="2018-07-17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4.99000000000001"/>
    <n v="22.998000000000001"/>
    <n v="152.93670000000003"/>
    <n v="30.587340000000005"/>
    <n v="6.1174680000000006"/>
  </r>
  <r>
    <d v="2018-07-17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0.93"/>
    <n v="30.155000000000001"/>
    <n v="240.63690000000003"/>
    <n v="40.106150000000007"/>
    <n v="8.021230000000001"/>
  </r>
  <r>
    <d v="2018-07-17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2.39"/>
    <n v="30.748750000000001"/>
    <n v="327.16669999999999"/>
    <n v="40.895837499999999"/>
    <n v="8.1791675000000001"/>
  </r>
  <r>
    <d v="2018-07-17T00:00:00"/>
    <s v="Toshiba"/>
    <s v="X300"/>
    <x v="3"/>
    <x v="0"/>
    <x v="3"/>
    <n v="7200"/>
    <n v="4.17"/>
    <m/>
    <n v="0.33333333333333326"/>
    <m/>
    <n v="2"/>
    <m/>
    <m/>
    <m/>
    <n v="100000000000000"/>
    <m/>
    <m/>
    <m/>
    <m/>
    <n v="0"/>
    <n v="0"/>
    <n v="374.6"/>
    <n v="37.46"/>
    <n v="498.21800000000002"/>
    <n v="49.821800000000003"/>
    <n v="9.964360000000001"/>
  </r>
  <r>
    <d v="2018-03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</r>
  <r>
    <d v="2018-01-30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7-17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56.989999999999995"/>
    <n v="56.989999999999995"/>
    <n v="56.989999999999995"/>
    <n v="56.989999999999995"/>
    <n v="11.398"/>
  </r>
  <r>
    <d v="2018-07-17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7-17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</r>
  <r>
    <d v="2018-07-17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47.37"/>
    <n v="41.228333333333332"/>
    <n v="247.37"/>
    <n v="41.228333333333332"/>
    <n v="8.2456666666666667"/>
  </r>
  <r>
    <d v="2018-07-03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4.99"/>
    <n v="44.99"/>
    <n v="59.8367"/>
    <n v="59.8367"/>
    <n v="11.96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7-17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3.5"/>
    <n v="43.5"/>
    <n v="57.855000000000004"/>
    <n v="57.855000000000004"/>
    <n v="11.571000000000002"/>
  </r>
  <r>
    <d v="2018-07-17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3.99"/>
    <n v="26.995000000000001"/>
    <n v="71.806700000000006"/>
    <n v="35.903350000000003"/>
    <n v="7.180670000000001"/>
  </r>
  <r>
    <d v="2018-07-17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</r>
  <r>
    <d v="2018-07-17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</r>
  <r>
    <d v="2018-07-17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</r>
  <r>
    <d v="2018-07-17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1.69"/>
    <n v="81.69"/>
    <n v="81.69"/>
    <n v="81.69"/>
    <n v="16.338000000000001"/>
  </r>
  <r>
    <d v="2018-07-17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"/>
    <n v="59.5"/>
    <n v="119"/>
    <n v="59.5"/>
    <n v="11.9"/>
  </r>
  <r>
    <d v="2018-07-17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74.99"/>
    <n v="43.747500000000002"/>
    <n v="174.99"/>
    <n v="43.747500000000002"/>
    <n v="8.7495000000000012"/>
  </r>
  <r>
    <d v="2018-07-17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34.99"/>
    <n v="39.164999999999999"/>
    <n v="234.99"/>
    <n v="39.164999999999999"/>
    <n v="7.8330000000000002"/>
  </r>
  <r>
    <d v="2018-07-17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</r>
  <r>
    <d v="2018-07-17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</r>
  <r>
    <d v="2018-07-17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99"/>
    <n v="41.583333333333336"/>
    <n v="499"/>
    <n v="41.583333333333336"/>
    <n v="8.3166666666666664"/>
  </r>
  <r>
    <d v="2018-07-17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</r>
  <r>
    <d v="2018-07-17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</r>
  <r>
    <d v="2018-07-03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</r>
  <r>
    <d v="2018-07-17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</r>
  <r>
    <d v="2018-07-03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7.99"/>
    <n v="35.996666666666663"/>
    <n v="131.74779999999998"/>
    <n v="43.915933333333328"/>
    <n v="8.7831866666666656"/>
  </r>
  <r>
    <d v="2018-07-03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7-10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72.99"/>
    <n v="28.831666666666667"/>
    <n v="211.0478"/>
    <n v="35.174633333333333"/>
    <n v="7.0349266666666663"/>
  </r>
  <r>
    <d v="2018-07-03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</r>
  <r>
    <d v="2018-07-03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</r>
  <r>
    <d v="2018-07-17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7">
  <r>
    <d v="2018-07-02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99.98"/>
    <n v="24.995000000000001"/>
    <n v="121.9756"/>
    <n v="30.4939"/>
    <n v="6.0987799999999996"/>
    <n v="29"/>
    <m/>
    <s v="Enterprise HGST drives are now"/>
  </r>
  <r>
    <d v="2018-07-17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75.95"/>
    <n v="29.324999999999999"/>
    <n v="214.65899999999999"/>
    <n v="35.776499999999999"/>
    <n v="7.1552999999999995"/>
    <n v="29"/>
    <m/>
    <s v="owned by WD"/>
  </r>
  <r>
    <d v="2018-07-03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49.89"/>
    <n v="31.236249999999998"/>
    <n v="304.86579999999998"/>
    <n v="38.108224999999997"/>
    <n v="7.6216449999999991"/>
    <n v="29"/>
    <m/>
    <m/>
  </r>
  <r>
    <d v="2018-07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89.99"/>
    <n v="28.999000000000002"/>
    <n v="353.7878"/>
    <n v="35.378779999999999"/>
    <n v="7.0757560000000002"/>
    <n v="29"/>
    <m/>
    <m/>
  </r>
  <r>
    <d v="2018-07-1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8.99"/>
    <n v="48.99"/>
    <n v="59.767800000000001"/>
    <n v="59.767800000000001"/>
    <n v="11.95356"/>
    <m/>
    <m/>
    <m/>
  </r>
  <r>
    <d v="2018-07-17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8.75"/>
    <n v="58.75"/>
    <n v="71.674999999999997"/>
    <n v="71.674999999999997"/>
    <n v="14.334999999999999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7-17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0.89"/>
    <n v="60.445"/>
    <n v="120.89"/>
    <n v="60.445"/>
    <n v="12.089"/>
    <m/>
    <m/>
    <m/>
  </r>
  <r>
    <d v="2018-07-03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  <m/>
    <m/>
    <m/>
  </r>
  <r>
    <d v="2018-07-17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  <m/>
    <m/>
    <m/>
  </r>
  <r>
    <d v="2018-07-17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8.5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8.5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8.5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8-07-03T00:00:00"/>
    <x v="0"/>
    <s v="Ultrastar C15K600"/>
    <x v="0"/>
    <x v="1"/>
    <x v="11"/>
    <x v="3"/>
    <n v="1.99"/>
    <n v="8.5"/>
    <n v="1.7833333333333332"/>
    <n v="250"/>
    <n v="5"/>
    <m/>
    <m/>
    <x v="2"/>
    <n v="1E+17"/>
    <m/>
    <n v="7.5"/>
    <n v="5.8"/>
    <m/>
    <n v="6.7277208000000002"/>
    <n v="11.212868"/>
    <n v="169.99"/>
    <n v="283.31666666666672"/>
    <n v="169.99"/>
    <n v="283.31666666666672"/>
    <n v="56.663333333333341"/>
    <m/>
    <m/>
    <s v="32GB NAND, Media caching"/>
  </r>
  <r>
    <d v="2018-07-03T00:00:00"/>
    <x v="0"/>
    <s v="Ultrastar He6"/>
    <x v="0"/>
    <x v="0"/>
    <x v="1"/>
    <x v="0"/>
    <n v="4.16"/>
    <n v="8.5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  <n v="20"/>
    <m/>
    <s v="Helium filled"/>
  </r>
  <r>
    <d v="2018-07-03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  <n v="20"/>
    <n v="36"/>
    <s v="Helium filled, Media caching"/>
  </r>
  <r>
    <d v="2018-07-03T00:00:00"/>
    <x v="0"/>
    <s v="Ultrastar He10"/>
    <x v="0"/>
    <x v="0"/>
    <x v="3"/>
    <x v="0"/>
    <n v="4.16"/>
    <n v="8.5"/>
    <n v="0.33333333333333326"/>
    <n v="237"/>
    <n v="5"/>
    <n v="600000"/>
    <n v="550"/>
    <x v="3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  <n v="20"/>
    <n v="36"/>
    <s v="Helium filled"/>
  </r>
  <r>
    <d v="2018-07-03T00:00:00"/>
    <x v="0"/>
    <s v="Ultrastar He12"/>
    <x v="0"/>
    <x v="0"/>
    <x v="12"/>
    <x v="0"/>
    <n v="4.16"/>
    <n v="8.5"/>
    <n v="0.33333333333333326"/>
    <n v="243"/>
    <n v="5"/>
    <n v="600000"/>
    <n v="550"/>
    <x v="3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  <n v="20"/>
    <n v="36"/>
    <s v="Helium filled"/>
  </r>
  <r>
    <d v="2018-01-27T00:00:00"/>
    <x v="0"/>
    <s v="Ultrastar Hs14"/>
    <x v="2"/>
    <x v="0"/>
    <x v="13"/>
    <x v="0"/>
    <n v="4.16"/>
    <n v="8.5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6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n v="22"/>
    <n v="24"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n v="24"/>
    <n v="26"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n v="26"/>
    <n v="27"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n v="26"/>
    <n v="27"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n v="26"/>
    <n v="27"/>
    <m/>
  </r>
  <r>
    <d v="2018-03-31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  <n v="24"/>
    <n v="25"/>
    <m/>
  </r>
  <r>
    <d v="2018-07-17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8.99"/>
    <n v="29.495000000000001"/>
    <n v="78.456699999999998"/>
    <n v="39.228349999999999"/>
    <n v="7.8456700000000001"/>
    <n v="21"/>
    <n v="23"/>
    <m/>
  </r>
  <r>
    <d v="2018-06-08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n v="24"/>
    <n v="27"/>
    <m/>
  </r>
  <r>
    <d v="2018-07-03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  <n v="24"/>
    <n v="27"/>
    <m/>
  </r>
  <r>
    <d v="2018-03-31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  <n v="25"/>
    <n v="26"/>
    <m/>
  </r>
  <r>
    <d v="2018-04-17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69.99"/>
    <n v="21.248750000000001"/>
    <n v="226.08670000000001"/>
    <n v="28.260837500000001"/>
    <n v="5.6521675"/>
    <n v="25"/>
    <n v="26"/>
    <m/>
  </r>
  <r>
    <d v="2018-07-17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  <n v="24"/>
    <n v="28"/>
    <m/>
  </r>
  <r>
    <d v="2018-07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n v="30"/>
    <n v="34"/>
    <m/>
  </r>
  <r>
    <d v="2018-07-1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  <n v="30"/>
    <n v="34"/>
    <m/>
  </r>
  <r>
    <d v="2018-07-1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  <n v="30"/>
    <n v="34"/>
    <m/>
  </r>
  <r>
    <d v="2018-07-17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  <m/>
    <m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7-17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76.27"/>
    <n v="176.27"/>
    <n v="176.27"/>
    <n v="176.27"/>
    <n v="35.254000000000005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m/>
    <m/>
    <m/>
  </r>
  <r>
    <d v="2018-07-17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m/>
    <m/>
    <m/>
  </r>
  <r>
    <d v="2018-07-17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9.99"/>
    <n v="34.997500000000002"/>
    <n v="129.99"/>
    <n v="32.497500000000002"/>
    <n v="6.4995000000000003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8-04-18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m/>
    <m/>
    <s v="Helium filled"/>
  </r>
  <r>
    <d v="2018-07-17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  <m/>
    <m/>
    <s v="Helium filled"/>
  </r>
  <r>
    <d v="2018-07-17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52.99"/>
    <n v="52.99"/>
    <n v="52.99"/>
    <n v="52.99"/>
    <n v="10.598000000000001"/>
    <n v="22"/>
    <n v="24"/>
    <s v="8GiB NAND"/>
  </r>
  <r>
    <d v="2018-05-30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74.989999999999995"/>
    <n v="37.494999999999997"/>
    <n v="74.989999999999995"/>
    <n v="37.494999999999997"/>
    <n v="7.4989999999999997"/>
    <n v="24"/>
    <n v="26"/>
    <s v="8GiB NAND"/>
  </r>
  <r>
    <d v="2018-07-03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3.99"/>
    <n v="63.99"/>
    <n v="63.99"/>
    <n v="63.99"/>
    <n v="12.798"/>
    <n v="24"/>
    <n v="25"/>
    <s v="8GiB NAND"/>
  </r>
  <r>
    <d v="2018-07-17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  <n v="26"/>
    <n v="27"/>
    <s v="8GiB NAND"/>
  </r>
  <r>
    <d v="2018-05-30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20"/>
    <n v="22"/>
    <m/>
  </r>
  <r>
    <d v="2018-05-30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7.55"/>
    <n v="38.774999999999999"/>
    <n v="94.61099999999999"/>
    <n v="47.305499999999995"/>
    <n v="9.4610999999999983"/>
    <n v="20"/>
    <n v="22"/>
    <m/>
  </r>
  <r>
    <d v="2018-07-17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73.989999999999995"/>
    <n v="24.66333333333333"/>
    <n v="90.267799999999994"/>
    <n v="30.089266666666663"/>
    <n v="6.0178533333333331"/>
    <n v="24"/>
    <n v="26"/>
    <m/>
  </r>
  <r>
    <d v="2018-07-17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8.59"/>
    <n v="29.647500000000001"/>
    <n v="144.6798"/>
    <n v="36.16995"/>
    <n v="7.2339900000000004"/>
    <n v="24"/>
    <n v="26"/>
    <m/>
  </r>
  <r>
    <d v="2018-07-17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4.99"/>
    <n v="30.831666666666667"/>
    <n v="225.68780000000001"/>
    <n v="37.614633333333337"/>
    <n v="7.5229266666666676"/>
    <n v="28"/>
    <n v="29"/>
    <m/>
  </r>
  <r>
    <d v="2018-07-17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48.98"/>
    <n v="31.122499999999999"/>
    <n v="303.75559999999996"/>
    <n v="37.969449999999995"/>
    <n v="7.5938899999999991"/>
    <n v="28"/>
    <n v="29"/>
    <m/>
  </r>
  <r>
    <d v="2018-06-08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84.99"/>
    <n v="28.499000000000002"/>
    <n v="347.68780000000004"/>
    <n v="34.768780000000007"/>
    <n v="6.9537560000000012"/>
    <n v="30"/>
    <n v="34"/>
    <m/>
  </r>
  <r>
    <d v="2018-07-03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  <n v="30"/>
    <n v="34"/>
    <m/>
  </r>
  <r>
    <d v="2018-07-03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n v="30"/>
    <n v="34"/>
    <m/>
  </r>
  <r>
    <d v="2018-07-03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  <n v="30"/>
    <n v="34"/>
    <m/>
  </r>
  <r>
    <d v="2018-07-17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  <n v="30"/>
    <n v="34"/>
    <m/>
  </r>
  <r>
    <d v="2018-07-03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  <n v="30"/>
    <n v="34"/>
    <m/>
  </r>
  <r>
    <d v="2018-07-03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53.11"/>
    <n v="35.311"/>
    <n v="353.11"/>
    <n v="35.311"/>
    <n v="7.0621999999999998"/>
    <n v="30"/>
    <n v="34"/>
    <m/>
  </r>
  <r>
    <d v="2018-07-03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  <n v="30"/>
    <n v="34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n v="0"/>
    <n v="0"/>
    <n v="0"/>
    <n v="0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n v="0"/>
    <n v="0"/>
    <n v="0"/>
    <n v="0"/>
    <n v="20"/>
    <m/>
    <s v="Helium filled"/>
  </r>
  <r>
    <d v="2018-07-03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89.99"/>
    <n v="241.65833333333336"/>
    <n v="289.99"/>
    <n v="241.65833333333336"/>
    <n v="48.331666666666671"/>
    <m/>
    <m/>
    <s v="Persistant Write Cache"/>
  </r>
  <r>
    <d v="2018-07-03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s v="Persistant Write Cache"/>
  </r>
  <r>
    <d v="2018-07-03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99.99"/>
    <n v="499.98333333333335"/>
    <n v="299.99"/>
    <n v="499.98333333333335"/>
    <n v="99.99666666666667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7-03T00:00:00"/>
    <x v="2"/>
    <s v="HDKFB06"/>
    <x v="1"/>
    <x v="1"/>
    <x v="6"/>
    <x v="1"/>
    <m/>
    <m/>
    <n v="0"/>
    <m/>
    <m/>
    <m/>
    <m/>
    <x v="1"/>
    <m/>
    <m/>
    <m/>
    <m/>
    <m/>
    <m/>
    <m/>
    <n v="128.69"/>
    <n v="42.896666666666668"/>
    <n v="199.46949999999998"/>
    <n v="66.489833333333323"/>
    <n v="13.297966666666664"/>
    <m/>
    <m/>
    <m/>
  </r>
  <r>
    <d v="2018-07-03T00:00:00"/>
    <x v="2"/>
    <s v="L200"/>
    <x v="1"/>
    <x v="1"/>
    <x v="4"/>
    <x v="1"/>
    <n v="5.56"/>
    <m/>
    <n v="0"/>
    <m/>
    <n v="2"/>
    <m/>
    <m/>
    <x v="1"/>
    <n v="100000000000000"/>
    <m/>
    <n v="1.5"/>
    <n v="0.55000000000000004"/>
    <m/>
    <n v="0.81083280000000013"/>
    <n v="0.81083280000000013"/>
    <n v="44.99"/>
    <n v="44.99"/>
    <n v="59.8367"/>
    <n v="59.8367"/>
    <n v="11.96734"/>
    <n v="23"/>
    <n v="24"/>
    <m/>
  </r>
  <r>
    <d v="2018-07-03T00:00:00"/>
    <x v="2"/>
    <s v="L200"/>
    <x v="1"/>
    <x v="1"/>
    <x v="5"/>
    <x v="1"/>
    <m/>
    <m/>
    <n v="0"/>
    <m/>
    <n v="2"/>
    <m/>
    <m/>
    <x v="1"/>
    <n v="100000000000000"/>
    <m/>
    <m/>
    <m/>
    <m/>
    <n v="0"/>
    <n v="0"/>
    <m/>
    <n v="0"/>
    <n v="0"/>
    <n v="0"/>
    <n v="0"/>
    <n v="23"/>
    <n v="24"/>
    <m/>
  </r>
  <r>
    <d v="2018-07-17T00:00:00"/>
    <x v="2"/>
    <s v="N300"/>
    <x v="0"/>
    <x v="0"/>
    <x v="0"/>
    <x v="0"/>
    <n v="4.17"/>
    <m/>
    <n v="0.33333333333333326"/>
    <n v="200"/>
    <n v="3"/>
    <n v="300000"/>
    <n v="180"/>
    <x v="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  <n v="30"/>
    <n v="34"/>
    <m/>
  </r>
  <r>
    <d v="2018-07-17T00:00:00"/>
    <x v="2"/>
    <s v="N300"/>
    <x v="0"/>
    <x v="0"/>
    <x v="1"/>
    <x v="0"/>
    <n v="4.17"/>
    <m/>
    <n v="0.33333333333333326"/>
    <n v="210"/>
    <n v="3"/>
    <n v="300000"/>
    <n v="180"/>
    <x v="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  <n v="33"/>
    <n v="35"/>
    <m/>
  </r>
  <r>
    <d v="2018-07-17T00:00:00"/>
    <x v="2"/>
    <s v="N300"/>
    <x v="0"/>
    <x v="0"/>
    <x v="2"/>
    <x v="0"/>
    <n v="4.17"/>
    <m/>
    <n v="0.33333333333333326"/>
    <n v="240"/>
    <n v="3"/>
    <n v="300000"/>
    <n v="180"/>
    <x v="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  <n v="33"/>
    <n v="35"/>
    <m/>
  </r>
  <r>
    <s v="io-"/>
    <x v="2"/>
    <s v="N300"/>
    <x v="0"/>
    <x v="0"/>
    <x v="3"/>
    <x v="0"/>
    <n v="4.17"/>
    <m/>
    <n v="0.33333333333333326"/>
    <n v="240"/>
    <n v="3"/>
    <n v="300000"/>
    <n v="180"/>
    <x v="0"/>
    <n v="100000000000000"/>
    <m/>
    <n v="9.1999999999999993"/>
    <n v="7.2"/>
    <m/>
    <n v="8.3274720000000002"/>
    <n v="0.83274720000000002"/>
    <m/>
    <n v="0"/>
    <n v="0"/>
    <n v="0"/>
    <n v="0"/>
    <n v="34"/>
    <n v="35"/>
    <m/>
  </r>
  <r>
    <d v="2018-07-17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6.99"/>
    <n v="46.99"/>
    <n v="62.496700000000004"/>
    <n v="62.496700000000004"/>
    <n v="12.49934"/>
    <n v="24"/>
    <n v="26"/>
    <m/>
  </r>
  <r>
    <d v="2018-07-17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70.92"/>
    <n v="35.46"/>
    <n v="94.323599999999999"/>
    <n v="47.161799999999999"/>
    <n v="9.4323599999999992"/>
    <n v="27"/>
    <n v="28"/>
    <m/>
  </r>
  <r>
    <d v="2018-07-17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59.989999999999995"/>
    <n v="19.996666666666666"/>
    <n v="79.786699999999996"/>
    <n v="26.595566666666667"/>
    <n v="5.3191133333333331"/>
    <n v="27"/>
    <n v="28"/>
    <m/>
  </r>
  <r>
    <d v="2018-07-1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  <n v="31"/>
    <m/>
    <m/>
  </r>
  <r>
    <d v="2018-07-17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4.99000000000001"/>
    <n v="22.998000000000001"/>
    <n v="152.93670000000003"/>
    <n v="30.587340000000005"/>
    <n v="6.1174680000000006"/>
    <n v="31"/>
    <m/>
    <m/>
  </r>
  <r>
    <d v="2018-07-17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0.93"/>
    <n v="30.155000000000001"/>
    <n v="240.63690000000003"/>
    <n v="40.106150000000007"/>
    <n v="8.021230000000001"/>
    <n v="34"/>
    <m/>
    <m/>
  </r>
  <r>
    <d v="2018-07-1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2.39"/>
    <n v="30.748750000000001"/>
    <n v="327.16669999999999"/>
    <n v="40.895837499999999"/>
    <n v="8.1791675000000001"/>
    <n v="34"/>
    <m/>
    <m/>
  </r>
  <r>
    <d v="2018-07-17T00:00:00"/>
    <x v="2"/>
    <s v="X300"/>
    <x v="3"/>
    <x v="0"/>
    <x v="3"/>
    <x v="0"/>
    <n v="4.17"/>
    <m/>
    <n v="0.33333333333333326"/>
    <m/>
    <n v="2"/>
    <m/>
    <m/>
    <x v="1"/>
    <n v="100000000000000"/>
    <m/>
    <m/>
    <m/>
    <m/>
    <n v="0"/>
    <n v="0"/>
    <n v="374.6"/>
    <n v="37.46"/>
    <n v="498.21800000000002"/>
    <n v="49.821800000000003"/>
    <n v="9.964360000000001"/>
    <m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m/>
    <m/>
    <m/>
  </r>
  <r>
    <d v="2018-01-30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8-07-17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56.989999999999995"/>
    <n v="56.989999999999995"/>
    <n v="56.989999999999995"/>
    <n v="56.989999999999995"/>
    <n v="11.398"/>
    <n v="29"/>
    <n v="30"/>
    <m/>
  </r>
  <r>
    <d v="2018-07-17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29"/>
    <n v="34"/>
    <m/>
  </r>
  <r>
    <d v="2018-07-17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  <n v="29"/>
    <n v="36"/>
    <m/>
  </r>
  <r>
    <d v="2018-07-17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47.37"/>
    <n v="41.228333333333332"/>
    <n v="247.37"/>
    <n v="41.228333333333332"/>
    <n v="8.2456666666666667"/>
    <n v="29"/>
    <n v="36"/>
    <m/>
  </r>
  <r>
    <d v="2018-07-03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7-17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3.5"/>
    <n v="43.5"/>
    <n v="57.855000000000004"/>
    <n v="57.855000000000004"/>
    <n v="11.571000000000002"/>
    <n v="21"/>
    <n v="24"/>
    <m/>
  </r>
  <r>
    <d v="2018-07-17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3.99"/>
    <n v="26.995000000000001"/>
    <n v="71.806700000000006"/>
    <n v="35.903350000000003"/>
    <n v="7.180670000000001"/>
    <n v="23"/>
    <n v="27"/>
    <m/>
  </r>
  <r>
    <d v="2018-07-17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  <n v="23"/>
    <n v="27"/>
    <m/>
  </r>
  <r>
    <d v="2018-07-17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  <n v="25"/>
    <n v="28"/>
    <m/>
  </r>
  <r>
    <d v="2018-07-17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  <n v="25"/>
    <n v="28"/>
    <m/>
  </r>
  <r>
    <d v="2018-07-17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1.69"/>
    <n v="81.69"/>
    <n v="81.69"/>
    <n v="81.69"/>
    <n v="16.338000000000001"/>
    <n v="25"/>
    <n v="28"/>
    <m/>
  </r>
  <r>
    <d v="2018-07-1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"/>
    <n v="59.5"/>
    <n v="119"/>
    <n v="59.5"/>
    <n v="11.9"/>
    <n v="25"/>
    <n v="28"/>
    <m/>
  </r>
  <r>
    <d v="2018-07-17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74.99"/>
    <n v="43.747500000000002"/>
    <n v="174.99"/>
    <n v="43.747500000000002"/>
    <n v="8.7495000000000012"/>
    <n v="29"/>
    <n v="36"/>
    <m/>
  </r>
  <r>
    <d v="2018-07-17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34.99"/>
    <n v="39.164999999999999"/>
    <n v="234.99"/>
    <n v="39.164999999999999"/>
    <n v="7.8330000000000002"/>
    <n v="29"/>
    <n v="36"/>
    <s v="Media caching"/>
  </r>
  <r>
    <d v="2018-07-17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  <n v="20"/>
    <n v="36"/>
    <s v="Helium filled"/>
  </r>
  <r>
    <d v="2018-07-17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  <n v="20"/>
    <n v="36"/>
    <s v="Helium filled"/>
  </r>
  <r>
    <d v="2018-07-17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99"/>
    <n v="41.583333333333336"/>
    <n v="499"/>
    <n v="41.583333333333336"/>
    <n v="8.3166666666666664"/>
    <n v="20"/>
    <n v="36"/>
    <s v="Helium filled"/>
  </r>
  <r>
    <d v="2018-07-17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  <m/>
    <m/>
    <m/>
  </r>
  <r>
    <d v="2018-07-17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  <m/>
    <m/>
    <m/>
  </r>
  <r>
    <d v="2018-07-03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  <n v="21"/>
    <n v="22"/>
    <m/>
  </r>
  <r>
    <d v="2018-07-17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23"/>
    <n v="24"/>
    <m/>
  </r>
  <r>
    <d v="2018-07-03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7.99"/>
    <n v="35.996666666666663"/>
    <n v="131.74779999999998"/>
    <n v="43.915933333333328"/>
    <n v="8.7831866666666656"/>
    <n v="23"/>
    <n v="24"/>
    <m/>
  </r>
  <r>
    <d v="2018-07-03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m/>
    <m/>
    <m/>
  </r>
  <r>
    <d v="2018-07-10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72.99"/>
    <n v="28.831666666666667"/>
    <n v="211.0478"/>
    <n v="35.174633333333333"/>
    <n v="7.0349266666666663"/>
    <n v="25"/>
    <n v="28"/>
    <m/>
  </r>
  <r>
    <d v="2018-07-03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  <n v="20"/>
    <n v="29"/>
    <s v="Helium filled"/>
  </r>
  <r>
    <d v="2018-07-03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  <n v="20"/>
    <n v="29"/>
    <s v="Helium filled"/>
  </r>
  <r>
    <d v="2018-07-17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  <n v="31"/>
    <n v="34"/>
    <m/>
  </r>
  <r>
    <d v="2018-07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33.89"/>
    <n v="77.963333333333324"/>
    <n v="233.89"/>
    <n v="77.963333333333324"/>
    <n v="15.592666666666664"/>
    <m/>
    <m/>
    <m/>
  </r>
  <r>
    <d v="2018-07-03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95.98"/>
    <n v="48.994999999999997"/>
    <n v="195.98"/>
    <n v="48.994999999999997"/>
    <n v="9.7989999999999995"/>
    <n v="29"/>
    <n v="36"/>
    <m/>
  </r>
  <r>
    <d v="2018-07-03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28.98999999999998"/>
    <n v="38.164999999999999"/>
    <n v="228.98999999999998"/>
    <n v="38.164999999999999"/>
    <n v="7.633"/>
    <n v="29"/>
    <n v="36"/>
    <m/>
  </r>
  <r>
    <d v="2018-07-03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41.29"/>
    <n v="42.661250000000003"/>
    <n v="341.29"/>
    <n v="42.661250000000003"/>
    <n v="8.5322500000000012"/>
    <n v="20"/>
    <n v="36"/>
    <s v="Helium filled"/>
  </r>
  <r>
    <d v="2018-07-03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397.51"/>
    <n v="39.750999999999998"/>
    <n v="397.51"/>
    <n v="39.750999999999998"/>
    <n v="7.9501999999999997"/>
    <n v="20"/>
    <n v="29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34">
      <pivotArea dataOnly="0" labelOnly="1" fieldPosition="0">
        <references count="1">
          <reference field="5" count="0"/>
        </references>
      </pivotArea>
    </format>
    <format dxfId="33">
      <pivotArea outline="0" collapsedLevelsAreSubtotals="1" fieldPosition="0"/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35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47">
      <pivotArea outline="0" collapsedLevelsAreSubtotals="1" fieldPosition="0"/>
    </format>
    <format dxfId="46">
      <pivotArea collapsedLevelsAreSubtotals="1" fieldPosition="0">
        <references count="1">
          <reference field="5" count="1">
            <x v="8"/>
          </reference>
        </references>
      </pivotArea>
    </format>
    <format dxfId="45">
      <pivotArea outline="0" collapsedLevelsAreSubtotals="1" fieldPosition="0"/>
    </format>
    <format dxfId="44">
      <pivotArea outline="0" collapsedLevelsAreSubtotals="1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fieldPosition="0">
        <references count="1">
          <reference field="5" count="0"/>
        </references>
      </pivotArea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5" type="button" dataOnly="0" labelOnly="1" outline="0" axis="axisRow" fieldPosition="0"/>
    </format>
    <format dxfId="38">
      <pivotArea dataOnly="0" labelOnly="1" outline="0" axis="axisValues" fieldPosition="0"/>
    </format>
    <format dxfId="37">
      <pivotArea dataOnly="0" labelOnly="1" fieldPosition="0">
        <references count="1">
          <reference field="5" count="0"/>
        </references>
      </pivotArea>
    </format>
    <format dxfId="3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53">
      <pivotArea outline="0" collapsedLevelsAreSubtotals="1" fieldPosition="0"/>
    </format>
    <format dxfId="52">
      <pivotArea dataOnly="0" labelOnly="1" fieldPosition="0">
        <references count="1">
          <reference field="5" count="0"/>
        </references>
      </pivotArea>
    </format>
    <format dxfId="51">
      <pivotArea type="all" dataOnly="0" outline="0" fieldPosition="0"/>
    </format>
    <format dxfId="50">
      <pivotArea field="5" type="button" dataOnly="0" labelOnly="1" outline="0" axis="axisRow" fieldPosition="0"/>
    </format>
    <format dxfId="49">
      <pivotArea dataOnly="0" labelOnly="1" outline="0" axis="axisValues" fieldPosition="0"/>
    </format>
    <format dxfId="48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9" totalsRowShown="0" headerRowDxfId="83" headerRowBorderDxfId="82" tableBorderDxfId="81">
  <autoFilter ref="A2:AD149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270&amp;Tpk=22-179-270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1" TargetMode="External"/><Relationship Id="rId138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59" Type="http://schemas.openxmlformats.org/officeDocument/2006/relationships/hyperlink" Target="https://www.newegg.com/Product/Product.aspx?Item=1Z4-0002-002R5&amp;cm_re=wd_red_nas_2.5-_-1Z4-0002-002R5-_-Product" TargetMode="External"/><Relationship Id="rId170" Type="http://schemas.openxmlformats.org/officeDocument/2006/relationships/hyperlink" Target="https://www.newegg.com/Product/Product.aspx?Item=9SIA99462P4004" TargetMode="External"/><Relationship Id="rId191" Type="http://schemas.openxmlformats.org/officeDocument/2006/relationships/hyperlink" Target="https://www.newegg.com/Product/Product.aspx?Item=9SIA6ZP6P20888&amp;cm_re=segate_2.5%22_disk_drive-_-1Z4-002P-008Z8-_-Product" TargetMode="External"/><Relationship Id="rId205" Type="http://schemas.openxmlformats.org/officeDocument/2006/relationships/hyperlink" Target="https://www.newegg.com/Product/Product.aspx?Item=9SIA67S3GU1457&amp;cm_re=WD_red_nas_5tb-_-22-236-738-_-Product" TargetMode="External"/><Relationship Id="rId226" Type="http://schemas.openxmlformats.org/officeDocument/2006/relationships/comments" Target="../comments1.xml"/><Relationship Id="rId107" Type="http://schemas.openxmlformats.org/officeDocument/2006/relationships/hyperlink" Target="https://www.hgst.com/products/hard-drives/ultrastar-7k6000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1" TargetMode="External"/><Relationship Id="rId128" Type="http://schemas.openxmlformats.org/officeDocument/2006/relationships/hyperlink" Target="https://www.newegg.com/Product/Product.aspx?Item=N82E16822235011&amp;ignorebbr=1" TargetMode="External"/><Relationship Id="rId149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smile.amazon.com/HGST-Deskstar-HDN726060ALE610-Internal-Drive/dp/B00O0M5QK8/ref=sr_1_2?s=prime-day&amp;ie=UTF8&amp;qid=1531855963&amp;sr=8-2&amp;keywords=hgst+deskstar&amp;dpID=51jQaMAu5gL&amp;preST=_SY300_QL70_&amp;dpSrc=srch" TargetMode="External"/><Relationship Id="rId160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1" Type="http://schemas.openxmlformats.org/officeDocument/2006/relationships/hyperlink" Target="https://www.newegg.com/Product/Product.aspx?Item=9SIA5AD6KR4743" TargetMode="External"/><Relationship Id="rId216" Type="http://schemas.openxmlformats.org/officeDocument/2006/relationships/hyperlink" Target="http://storage.toshiba.com/consumer-hdd/internal/l200" TargetMode="External"/><Relationship Id="rId211" Type="http://schemas.openxmlformats.org/officeDocument/2006/relationships/hyperlink" Target="https://www.newegg.com/Product/Product.aspx?Item=2RC-00D4-000H4&amp;ignorebbr=1&amp;cm_re=ultrastar_7k6000-_-2RC-00D4-000H4-_-Product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8" Type="http://schemas.openxmlformats.org/officeDocument/2006/relationships/hyperlink" Target="https://smile.amazon.com/Seagate-BarraCuda-3-5-Inch-Internal-ST10000DM0004/dp/B01IA9H22Q/ref=sr_1_cc_9?s=aps&amp;psr=PDAY&amp;ie=UTF8&amp;qid=1531855197&amp;sr=1-9-catcorr&amp;keywords=ironwolf" TargetMode="External"/><Relationship Id="rId134" Type="http://schemas.openxmlformats.org/officeDocument/2006/relationships/hyperlink" Target="https://www.newegg.com/Product/Product.aspx?Item=22-179-129&amp;Tpk=22-179-129" TargetMode="External"/><Relationship Id="rId139" Type="http://schemas.openxmlformats.org/officeDocument/2006/relationships/hyperlink" Target="https://toshiba.semicon-storage.com/us/product/storage-products/enterprise-hdd/al14sebxxex.html" TargetMode="External"/><Relationship Id="rId80" Type="http://schemas.openxmlformats.org/officeDocument/2006/relationships/hyperlink" Target="https://smile.amazon.com/Seagate-IronWolf-3-5-Inch-Internal-ST4000VN008/dp/B01LOOJBQY/ref=sr_1_cc_7?s=aps&amp;psr=PDAY&amp;ie=UTF8&amp;qid=1531855616&amp;sr=1-7-catcorr&amp;keywords=seagate" TargetMode="External"/><Relationship Id="rId85" Type="http://schemas.openxmlformats.org/officeDocument/2006/relationships/hyperlink" Target="https://www.newegg.com/Product/Product.aspx?item=N82E16822146067" TargetMode="External"/><Relationship Id="rId150" Type="http://schemas.openxmlformats.org/officeDocument/2006/relationships/hyperlink" Target="https://www.newegg.com/Product/Product.aspx?Item=22-179-130&amp;Tpk=22-179-130" TargetMode="External"/><Relationship Id="rId155" Type="http://schemas.openxmlformats.org/officeDocument/2006/relationships/hyperlink" Target="https://toshiba.semicon-storage.com/us/product/storage-products/enterprise-hdd/al14sxbxxex.html" TargetMode="External"/><Relationship Id="rId171" Type="http://schemas.openxmlformats.org/officeDocument/2006/relationships/hyperlink" Target="https://www.wdc.com/content/dam/wdc/website/downloadable_assets/eng/spec_data_sheet/2879-771437.pdf" TargetMode="External"/><Relationship Id="rId176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92" Type="http://schemas.openxmlformats.org/officeDocument/2006/relationships/hyperlink" Target="https://www.cdw.com/shop/products/HGST-Ultrastar-7K4000-HUS724030ALS640-hard-drive-3-TB-SAS-6Gb-s/3341368.aspx" TargetMode="External"/><Relationship Id="rId197" Type="http://schemas.openxmlformats.org/officeDocument/2006/relationships/hyperlink" Target="https://www.newegg.com/Product/Product.aspx?Item=N82E16822145620" TargetMode="External"/><Relationship Id="rId206" Type="http://schemas.openxmlformats.org/officeDocument/2006/relationships/hyperlink" Target="https://www.newegg.com/Product/Product.aspx?Item=N82E16822149644" TargetMode="External"/><Relationship Id="rId201" Type="http://schemas.openxmlformats.org/officeDocument/2006/relationships/hyperlink" Target="https://www.newegg.com/Product/Product.aspx?Item=9SIA6CC6KC0450" TargetMode="External"/><Relationship Id="rId222" Type="http://schemas.openxmlformats.org/officeDocument/2006/relationships/printerSettings" Target="../printerSettings/printerSettings1.bin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s://www.newegg.com/Product/Product.aspx?Item=N82E16822146148&amp;ignorebbr=1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s://secure.neweggbusiness.com/new/shopping/shoppingcart.aspx" TargetMode="External"/><Relationship Id="rId129" Type="http://schemas.openxmlformats.org/officeDocument/2006/relationships/hyperlink" Target="https://www.newegg.com/Product/Product.aspx?Item=N82E16822149629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2" TargetMode="External"/><Relationship Id="rId91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96" Type="http://schemas.openxmlformats.org/officeDocument/2006/relationships/hyperlink" Target="https://www.newegg.com/Product/Product.aspx?item=N82E16822178750" TargetMode="External"/><Relationship Id="rId140" Type="http://schemas.openxmlformats.org/officeDocument/2006/relationships/hyperlink" Target="https://toshiba.semicon-storage.com/us/product/storage-products/enterprise-hdd/al14sxbxxex.html" TargetMode="External"/><Relationship Id="rId145" Type="http://schemas.openxmlformats.org/officeDocument/2006/relationships/hyperlink" Target="https://www.newegg.com/Product/Product.aspx?Item=9SIA5EM5NM4192" TargetMode="External"/><Relationship Id="rId161" Type="http://schemas.openxmlformats.org/officeDocument/2006/relationships/hyperlink" Target="https://www.hgst.com/sites/default/files/resources/US7K4000_ds.pdf" TargetMode="External"/><Relationship Id="rId166" Type="http://schemas.openxmlformats.org/officeDocument/2006/relationships/hyperlink" Target="https://smile.amazon.com/Seagate-Drives-Barracuda-3-5-Inch-Internal/dp/B075WYBQXJ/ref=sr_1_2?s=prime-day&amp;psr=PDAY&amp;ie=UTF8&amp;qid=1531854865&amp;sr=1-2&amp;keywords=seagate+ironwolf&amp;smid=ATVPDKIKX0DER&amp;dpID=51eCqVfTTNL&amp;preST=_SY300_QL70_&amp;dpSrc=srch" TargetMode="External"/><Relationship Id="rId182" Type="http://schemas.openxmlformats.org/officeDocument/2006/relationships/hyperlink" Target="https://www.newegg.com/Product/Product.aspx?item=1Z4-002P-00142" TargetMode="External"/><Relationship Id="rId187" Type="http://schemas.openxmlformats.org/officeDocument/2006/relationships/hyperlink" Target="https://www.hgst.com/sites/default/files/resources/US7K4000_ds.pdf" TargetMode="External"/><Relationship Id="rId217" Type="http://schemas.openxmlformats.org/officeDocument/2006/relationships/hyperlink" Target="http://www.toshiba.eu/Contents/Toshiba_teg/EU/Others/HDD_datasheets/X300_High-Performance_Hard_Drive_Datasheet.pdf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N82E16822178941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19" Type="http://schemas.openxmlformats.org/officeDocument/2006/relationships/hyperlink" Target="https://www.newegg.com/Product/Product.aspx?Item=22-172-024&amp;Tpk=22-172-024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s://smile.amazon.com/Seagate-IronWolf-Cache-3-5-Inch-Internal/dp/B01LOOJBRI/ref=sr_1_1?s=prime-day&amp;psr=PDAY&amp;ie=UTF8&amp;qid=1531854865&amp;sr=1-1&amp;keywords=seagate+ironwolf&amp;smid=ATVPDKIKX0DER&amp;dpID=511zrEsez3L&amp;preST=_SY300_QL70_&amp;dpSrc=srch" TargetMode="External"/><Relationship Id="rId86" Type="http://schemas.openxmlformats.org/officeDocument/2006/relationships/hyperlink" Target="https://www.newegg.com/Product/Product.aspx?Item=9SIA25V4XG7457&amp;cm_re=Ultrastar_7K6000_5tb-_-9SIA25V4XG7457-_-Product" TargetMode="External"/><Relationship Id="rId130" Type="http://schemas.openxmlformats.org/officeDocument/2006/relationships/hyperlink" Target="https://www.newegg.com/Product/Product.aspx?item=1Z4-002P-00139" TargetMode="External"/><Relationship Id="rId135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1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56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7" Type="http://schemas.openxmlformats.org/officeDocument/2006/relationships/hyperlink" Target="https://smile.amazon.com/Seagate-Firecuda-2-5-Inch-Internal-ST1000LX015/dp/B01LWRTRZU/ref=sr_1_cc_8?s=aps&amp;psr=PDAY&amp;ie=UTF8&amp;qid=1531855616&amp;sr=1-8-catcorr&amp;keywords=seagate" TargetMode="External"/><Relationship Id="rId198" Type="http://schemas.openxmlformats.org/officeDocument/2006/relationships/hyperlink" Target="http://optocrypto.com/2017/10/04/western-digital-launches-new-hgst-ultrastar-hs14-14tb-hard-drive/" TargetMode="External"/><Relationship Id="rId172" Type="http://schemas.openxmlformats.org/officeDocument/2006/relationships/hyperlink" Target="https://www.newegg.com/Product/Product.aspx?item=N82E16822236496" TargetMode="External"/><Relationship Id="rId193" Type="http://schemas.openxmlformats.org/officeDocument/2006/relationships/hyperlink" Target="https://www.hgst.com/sites/default/files/resources/Ultrastar-He8-DS.pdf" TargetMode="External"/><Relationship Id="rId202" Type="http://schemas.openxmlformats.org/officeDocument/2006/relationships/hyperlink" Target="https://www.newegg.com/Product/Product.aspx?Item=9SIA5EM5NM4360" TargetMode="External"/><Relationship Id="rId207" Type="http://schemas.openxmlformats.org/officeDocument/2006/relationships/hyperlink" Target="https://www.seagate.com/files/www-content/datasheets/pdfs/exos-7-e8-data-sheet-DS1957-1-1709US-en_US.pdf" TargetMode="External"/><Relationship Id="rId223" Type="http://schemas.openxmlformats.org/officeDocument/2006/relationships/drawing" Target="../drawings/drawing1.xm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sites/default/files/resources/Ultrastar-7K2-EN-US-DS.pdf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8997" TargetMode="External"/><Relationship Id="rId97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4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0" Type="http://schemas.openxmlformats.org/officeDocument/2006/relationships/hyperlink" Target="https://www.seagate.com/www-content/product-content/barracuda-fam/barracuda-new/en-us/docs/100818004c.pdf" TargetMode="External"/><Relationship Id="rId125" Type="http://schemas.openxmlformats.org/officeDocument/2006/relationships/hyperlink" Target="https://smile.amazon.com/Seagate-FireCuda-Gaming-Solid-Hybrid/dp/B01IEKG2HM/ref=sr_1_3?s=prime-day&amp;psr=PDAY&amp;ie=UTF8&amp;qid=1531854865&amp;sr=1-3&amp;keywords=seagate+ironwolf&amp;smid=ATVPDKIKX0DER&amp;dpID=51Q5JsfaKQL&amp;preST=_SY300_QL70_&amp;dpSrc=srch" TargetMode="External"/><Relationship Id="rId141" Type="http://schemas.openxmlformats.org/officeDocument/2006/relationships/hyperlink" Target="https://toshiba.semicon-storage.com/us/product/storage-products/enterprise-hdd/mg06acaxxxx.html" TargetMode="External"/><Relationship Id="rId146" Type="http://schemas.openxmlformats.org/officeDocument/2006/relationships/hyperlink" Target="https://www.newegg.com/Product/Product.aspx?Item=N82E16822178994&amp;ignorebbr=1" TargetMode="External"/><Relationship Id="rId167" Type="http://schemas.openxmlformats.org/officeDocument/2006/relationships/hyperlink" Target="https://www.newegg.com/Product/Product.aspx?Item=N82E16822179104" TargetMode="External"/><Relationship Id="rId188" Type="http://schemas.openxmlformats.org/officeDocument/2006/relationships/hyperlink" Target="https://www.hgst.com/sites/default/files/resources/US7K4000_d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images10.newegg.com/ProductImageCompressAll300/22-179-103-S01.jpg?ex=2" TargetMode="External"/><Relationship Id="rId92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62" Type="http://schemas.openxmlformats.org/officeDocument/2006/relationships/hyperlink" Target="https://smile.amazon.com/HGST-Ultrastar-3-5-Inch-Enterprise-0F14683/dp/B007VL8WU6/ref=sr_1_8?s=prime-day&amp;ie=UTF8&amp;qid=1531855963&amp;sr=8-8&amp;keywords=hgst+deskstar" TargetMode="External"/><Relationship Id="rId183" Type="http://schemas.openxmlformats.org/officeDocument/2006/relationships/hyperlink" Target="https://www.seagate.com/files/www-content/datasheets/pdfs/exos-10e2400DS1959-1-1709US-en_US.pdf" TargetMode="External"/><Relationship Id="rId213" Type="http://schemas.openxmlformats.org/officeDocument/2006/relationships/hyperlink" Target="https://www.cdw.com/product/Seagate-Enterprise-Capacity-3.5-HDD-ST8000NM0055-hard-drive-8-TB-SATA/3851249?pfm=srh" TargetMode="External"/><Relationship Id="rId218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N82E16822235131&amp;cm_re=wd_gold_enterprise-_-22-235-131-_-Product" TargetMode="External"/><Relationship Id="rId110" Type="http://schemas.openxmlformats.org/officeDocument/2006/relationships/hyperlink" Target="https://www.cdw.com/shop/products/HGST-Ultrastar-He8-HUH728080ALE600-hard-drive-8-TB-SATA-6Gb-s/3546681.aspx?pfm=srh" TargetMode="External"/><Relationship Id="rId115" Type="http://schemas.openxmlformats.org/officeDocument/2006/relationships/hyperlink" Target="https://www.cdw.com/shop/products/HGST-Ultrastar-HE12-HUH721212ALE600-hard-drive-12-TB-SATA-6Gb-s/4706469.aspx?pfm=srh" TargetMode="External"/><Relationship Id="rId131" Type="http://schemas.openxmlformats.org/officeDocument/2006/relationships/hyperlink" Target="https://www.newegg.com/Product/Product.aspx?item=1Z4-002P-000N0" TargetMode="External"/><Relationship Id="rId136" Type="http://schemas.openxmlformats.org/officeDocument/2006/relationships/hyperlink" Target="https://www.newegg.com/Product/Product.aspx?item=N82E16822149382" TargetMode="External"/><Relationship Id="rId157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8" Type="http://schemas.openxmlformats.org/officeDocument/2006/relationships/hyperlink" Target="https://www.newegg.com/Product/Product.aspx?Item=N82E16822179106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8" TargetMode="External"/><Relationship Id="rId152" Type="http://schemas.openxmlformats.org/officeDocument/2006/relationships/hyperlink" Target="https://www.newegg.com/Product/Product.aspx?Item=22-149-631&amp;Tpk=22-149-631" TargetMode="External"/><Relationship Id="rId173" Type="http://schemas.openxmlformats.org/officeDocument/2006/relationships/hyperlink" Target="https://www.newegg.com/Product/Product.aspx?item=1B0-0020-000G1" TargetMode="External"/><Relationship Id="rId194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199" Type="http://schemas.openxmlformats.org/officeDocument/2006/relationships/hyperlink" Target="http://www.sears.com/seagate-st900mp0146-900gb-2.5-sas-15k-rpm/p-SPM8883839723" TargetMode="External"/><Relationship Id="rId203" Type="http://schemas.openxmlformats.org/officeDocument/2006/relationships/hyperlink" Target="https://www.newegg.com/Product/Product.aspx?Item=9SIA67S3GU1425&amp;cm_re=WD_blue_6tb-_-22-235-009-_-Product" TargetMode="External"/><Relationship Id="rId208" Type="http://schemas.openxmlformats.org/officeDocument/2006/relationships/hyperlink" Target="https://www.newegg.com/Product/Product.aspx?item=1Z4-002P-00148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224" Type="http://schemas.openxmlformats.org/officeDocument/2006/relationships/vmlDrawing" Target="../drawings/vmlDrawing1.vm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6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47" Type="http://schemas.openxmlformats.org/officeDocument/2006/relationships/hyperlink" Target="https://www.newegg.com/Product/Product.aspx?Item=1Z4-002P-000N0&amp;ignorebbr=1" TargetMode="External"/><Relationship Id="rId168" Type="http://schemas.openxmlformats.org/officeDocument/2006/relationships/hyperlink" Target="https://www.newegg.com/Product/Product.aspx?Item=N82E16822145584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93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8" Type="http://schemas.openxmlformats.org/officeDocument/2006/relationships/hyperlink" Target="https://www.newegg.com/Product/Product.aspx?item=9SIA4A04NB8762" TargetMode="External"/><Relationship Id="rId121" Type="http://schemas.openxmlformats.org/officeDocument/2006/relationships/hyperlink" Target="https://www.seagate.com/www-content/product-content/barracuda-fam/barracuda-new/en-us/docs/100811076e.pdf" TargetMode="External"/><Relationship Id="rId142" Type="http://schemas.openxmlformats.org/officeDocument/2006/relationships/hyperlink" Target="https://toshiba.semicon-storage.com/us/product/storage-products/enterprise-hdd/mg07acaxxx.html" TargetMode="External"/><Relationship Id="rId163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4" Type="http://schemas.openxmlformats.org/officeDocument/2006/relationships/hyperlink" Target="https://www.newegg.com/Product/Product.aspx?Item=9SIAAEE6NW9609" TargetMode="External"/><Relationship Id="rId189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19" Type="http://schemas.openxmlformats.org/officeDocument/2006/relationships/hyperlink" Target="https://www.newegg.com/Product/Product.aspx?Item=9SIA5EM5NM4142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1Z4-000B-001U4&amp;cm_re=2.5%22_toshiba-_-1Z4-000B-001U4-_-Produc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smile.amazon.com/Seagate-BarraCuda-256MB-3-5-Inch-Internal/dp/B01LOOJBH8/ref=sr_1_6?s=prime-day&amp;psr=PDAY&amp;ie=UTF8&amp;qid=1531855616&amp;sr=1-6&amp;keywords=seagate&amp;smid=ATVPDKIKX0DER" TargetMode="External"/><Relationship Id="rId137" Type="http://schemas.openxmlformats.org/officeDocument/2006/relationships/hyperlink" Target="https://www.newegg.com/Product/Product.aspx?item=N82E16822149408" TargetMode="External"/><Relationship Id="rId158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46076" TargetMode="External"/><Relationship Id="rId88" Type="http://schemas.openxmlformats.org/officeDocument/2006/relationships/hyperlink" Target="https://www.newegg.com/Product/Product.aspx?item=N82E16822232560" TargetMode="External"/><Relationship Id="rId111" Type="http://schemas.openxmlformats.org/officeDocument/2006/relationships/hyperlink" Target="https://www.newegg.com/Product/Product.aspx?Item=9SIA9945X11461&amp;cm_re=ultrastar_he12-_-9SIA9945X11461-_-Product" TargetMode="External"/><Relationship Id="rId132" Type="http://schemas.openxmlformats.org/officeDocument/2006/relationships/hyperlink" Target="https://www.newegg.com/Product/Product.aspx?item=1Z4-002P-00141" TargetMode="External"/><Relationship Id="rId153" Type="http://schemas.openxmlformats.org/officeDocument/2006/relationships/hyperlink" Target="https://www.newegg.com/Product/Product.aspx?Item=22-149-632&amp;Tpk=22-149-632" TargetMode="External"/><Relationship Id="rId174" Type="http://schemas.openxmlformats.org/officeDocument/2006/relationships/hyperlink" Target="https://www.newegg.com/Product/Product.aspx?Item=N82E16822179108" TargetMode="External"/><Relationship Id="rId179" Type="http://schemas.openxmlformats.org/officeDocument/2006/relationships/hyperlink" Target="https://www.newegg.com/Product/Product.aspx?Item=9SIA5AD6KR4743" TargetMode="External"/><Relationship Id="rId195" Type="http://schemas.openxmlformats.org/officeDocument/2006/relationships/hyperlink" Target="https://www.newegg.com/Product/Product.aspx?item=N82E16822231547" TargetMode="External"/><Relationship Id="rId209" Type="http://schemas.openxmlformats.org/officeDocument/2006/relationships/hyperlink" Target="https://www.newegg.com/Product/Product.aspx?item=9SIA2F86R49684" TargetMode="External"/><Relationship Id="rId190" Type="http://schemas.openxmlformats.org/officeDocument/2006/relationships/hyperlink" Target="https://www.newegg.com/Product/Product.aspx?Item=9SIA5EM6HG5028&amp;cm_re=segate_2.5%22_disk_drive-_-1B4-00VK-00017-_-Product" TargetMode="External"/><Relationship Id="rId204" Type="http://schemas.openxmlformats.org/officeDocument/2006/relationships/hyperlink" Target="https://www.newegg.com/Product/Product.aspx?Item=9SIAAEE6P41222&amp;cm_re=wd_pro_3tb-_-22-236-740-_-Product" TargetMode="External"/><Relationship Id="rId220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225" Type="http://schemas.openxmlformats.org/officeDocument/2006/relationships/table" Target="../tables/table1.xm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27" Type="http://schemas.openxmlformats.org/officeDocument/2006/relationships/hyperlink" Target="https://www.newegg.com/Product/ComboBundleDetails.aspx?ItemList=Combo.3842359&amp;utm_medium=Email&amp;utm_source=IGNEFL071218&amp;cm_mmc=EMC-IGNEFL071218-_-EMC-071218-Index-_-Combo-_-Combo3842359-S1A1A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smile.amazon.com/Seagate-IronWolf-7200RPM-256MB-3-5-Inch/dp/B07BDVBP1H/ref=sr_1_9?s=prime-day&amp;psr=PDAY&amp;ie=UTF8&amp;qid=1531855616&amp;sr=1-9&amp;keywords=seagate&amp;smid=ATVPDKIKX0DER" TargetMode="External"/><Relationship Id="rId78" Type="http://schemas.openxmlformats.org/officeDocument/2006/relationships/hyperlink" Target="https://smile.amazon.com/Seagate-IronWolf-3-5-Inch-Internal-ST8000VN0022/dp/B01M1BUBSO/ref=sr_1_cc_1?s=aps&amp;psr=PDAY&amp;ie=UTF8&amp;qid=1531855197&amp;sr=1-1-catcorr&amp;keywords=ironwolf" TargetMode="External"/><Relationship Id="rId94" Type="http://schemas.openxmlformats.org/officeDocument/2006/relationships/hyperlink" Target="https://smile.amazon.com/Seagate-BarraCuda-Cache-Desktop-ST2000DM006/dp/B01IEKG402/ref=sr_1_cc_2?s=aps&amp;psr=PDAY&amp;ie=UTF8&amp;qid=1531855616&amp;sr=1-2-catcorr&amp;keywords=seagate" TargetMode="External"/><Relationship Id="rId99" Type="http://schemas.openxmlformats.org/officeDocument/2006/relationships/hyperlink" Target="https://www.seagate.com/www-content/product-content/hdd-fam/seagate-archive-hdd/en-us/docs/archive-hdd-dS1834-3-1411us.pdf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9SIA4M56WV0609&amp;cm_re=seagate_x12-_-9SIA4M56WV0609-_-Product" TargetMode="External"/><Relationship Id="rId164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69" Type="http://schemas.openxmlformats.org/officeDocument/2006/relationships/hyperlink" Target="https://www.newegg.com/Product/Product.aspx?Item=9SIA99460Z2669" TargetMode="External"/><Relationship Id="rId185" Type="http://schemas.openxmlformats.org/officeDocument/2006/relationships/hyperlink" Target="https://www.newegg.com/Product/Product.aspx?Item=N82E16822149667&amp;cm_re=2.5%22_toshiba-_-22-149-667-_-Product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newegg.com/Product/Product.aspx?Item=9SIAAEE6CZ1509" TargetMode="External"/><Relationship Id="rId210" Type="http://schemas.openxmlformats.org/officeDocument/2006/relationships/hyperlink" Target="https://www.newegg.com/Product/Product.aspx?Item=9SIA24G1S88436&amp;cm_re=terascale-_-22-178-401-_-Product" TargetMode="External"/><Relationship Id="rId215" Type="http://schemas.openxmlformats.org/officeDocument/2006/relationships/hyperlink" Target="https://www.toshiba-storage.com/products/n300/?pdf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58" TargetMode="External"/><Relationship Id="rId112" Type="http://schemas.openxmlformats.org/officeDocument/2006/relationships/hyperlink" Target="https://www.newegg.com/Product/Product.aspx?item=N82E16822146142" TargetMode="External"/><Relationship Id="rId133" Type="http://schemas.openxmlformats.org/officeDocument/2006/relationships/hyperlink" Target="https://www.newegg.com/Product/Product.aspx?item=1Z4-002P-00138" TargetMode="External"/><Relationship Id="rId154" Type="http://schemas.openxmlformats.org/officeDocument/2006/relationships/hyperlink" Target="https://www.newegg.com/Product/Product.aspx?Item=22-149-633&amp;Tpk=22-149-633" TargetMode="External"/><Relationship Id="rId175" Type="http://schemas.openxmlformats.org/officeDocument/2006/relationships/hyperlink" Target="https://www.seagate.com/internal-hard-drives/hdd/firecuda/" TargetMode="External"/><Relationship Id="rId196" Type="http://schemas.openxmlformats.org/officeDocument/2006/relationships/hyperlink" Target="https://www.newegg.com/Product/Product.aspx?item=N82E16822235064" TargetMode="External"/><Relationship Id="rId200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221" Type="http://schemas.openxmlformats.org/officeDocument/2006/relationships/hyperlink" Target="https://www.newegg.com/Product/Product.aspx?Item=9SIA0ZX7WE5979&amp;cm_re=toshiba_x300-_-22-149-728-_-Product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s://smile.amazon.com/Seagate-IronWolf-3-5-Inch-Internal-ST6000VN0041/dp/B01LZDFMWQ/ref=sr_1_cc_2?s=aps&amp;psr=PDAY&amp;ie=UTF8&amp;qid=1531855197&amp;sr=1-2-catcorr&amp;keywords=ironwolf" TargetMode="External"/><Relationship Id="rId102" Type="http://schemas.openxmlformats.org/officeDocument/2006/relationships/hyperlink" Target="http://www.hgst.com/sites/default/files/resources/UltrastarHs14-SATA-OEMSpec-R1.0.pdf" TargetMode="External"/><Relationship Id="rId123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90" Type="http://schemas.openxmlformats.org/officeDocument/2006/relationships/hyperlink" Target="https://www.newegg.com/Product/Product.aspx?item=N82E16822235059" TargetMode="External"/><Relationship Id="rId165" Type="http://schemas.openxmlformats.org/officeDocument/2006/relationships/hyperlink" Target="https://en.wikipedia.org/wiki/Decibel" TargetMode="External"/><Relationship Id="rId186" Type="http://schemas.openxmlformats.org/officeDocument/2006/relationships/hyperlink" Target="http://storage.toshiba.com/consumer-hdd/internal/l20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81"/>
  <sheetViews>
    <sheetView tabSelected="1" topLeftCell="D1" zoomScale="96" zoomScaleNormal="96" workbookViewId="0">
      <pane ySplit="2" topLeftCell="A3" activePane="bottomLeft" state="frozen"/>
      <selection pane="bottomLeft" activeCell="V5" sqref="V5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30" t="s">
        <v>88</v>
      </c>
      <c r="B1" s="231"/>
      <c r="C1" s="231"/>
      <c r="D1" s="231"/>
      <c r="E1" s="231"/>
      <c r="F1" s="232"/>
      <c r="G1" s="227" t="s">
        <v>67</v>
      </c>
      <c r="H1" s="228"/>
      <c r="I1" s="228"/>
      <c r="J1" s="228"/>
      <c r="K1" s="229"/>
      <c r="L1" s="219" t="s">
        <v>115</v>
      </c>
      <c r="M1" s="220"/>
      <c r="N1" s="220"/>
      <c r="O1" s="220"/>
      <c r="P1" s="221"/>
      <c r="Q1" s="222" t="s">
        <v>69</v>
      </c>
      <c r="R1" s="223"/>
      <c r="S1" s="223"/>
      <c r="T1" s="223"/>
      <c r="U1" s="224"/>
      <c r="V1" s="224"/>
      <c r="W1" s="217" t="s">
        <v>134</v>
      </c>
      <c r="X1" s="218"/>
      <c r="Y1" s="214" t="s">
        <v>36</v>
      </c>
      <c r="Z1" s="215"/>
      <c r="AA1" s="216"/>
      <c r="AB1" s="206" t="s">
        <v>155</v>
      </c>
      <c r="AC1" s="207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48</v>
      </c>
      <c r="E2" s="9" t="s">
        <v>85</v>
      </c>
      <c r="F2" s="9" t="s">
        <v>26</v>
      </c>
      <c r="G2" s="63" t="s">
        <v>7</v>
      </c>
      <c r="H2" s="9" t="s">
        <v>64</v>
      </c>
      <c r="I2" s="9" t="s">
        <v>66</v>
      </c>
      <c r="J2" s="35" t="s">
        <v>63</v>
      </c>
      <c r="K2" s="64" t="s">
        <v>62</v>
      </c>
      <c r="L2" s="35" t="s">
        <v>116</v>
      </c>
      <c r="M2" s="24" t="s">
        <v>61</v>
      </c>
      <c r="N2" s="24" t="s">
        <v>60</v>
      </c>
      <c r="O2" s="24" t="s">
        <v>58</v>
      </c>
      <c r="P2" s="34" t="s">
        <v>59</v>
      </c>
      <c r="Q2" s="36" t="s">
        <v>35</v>
      </c>
      <c r="R2" s="24" t="s">
        <v>8</v>
      </c>
      <c r="S2" s="24" t="s">
        <v>9</v>
      </c>
      <c r="T2" s="34" t="s">
        <v>30</v>
      </c>
      <c r="U2" s="35" t="s">
        <v>21</v>
      </c>
      <c r="V2" s="34" t="s">
        <v>46</v>
      </c>
      <c r="W2" s="138" t="s">
        <v>2</v>
      </c>
      <c r="X2" s="37" t="s">
        <v>3</v>
      </c>
      <c r="Y2" s="36" t="s">
        <v>32</v>
      </c>
      <c r="Z2" s="24" t="s">
        <v>47</v>
      </c>
      <c r="AA2" s="34" t="s">
        <v>20</v>
      </c>
      <c r="AB2" s="181" t="s">
        <v>145</v>
      </c>
      <c r="AC2" s="182" t="s">
        <v>146</v>
      </c>
      <c r="AD2" s="172" t="s">
        <v>40</v>
      </c>
    </row>
    <row r="3" spans="1:30" ht="15.75" thickTop="1" x14ac:dyDescent="0.25">
      <c r="A3" s="1">
        <v>43283</v>
      </c>
      <c r="B3" t="s">
        <v>15</v>
      </c>
      <c r="C3" s="115" t="s">
        <v>16</v>
      </c>
      <c r="D3" s="31" t="s">
        <v>49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99.98</v>
      </c>
      <c r="X3" s="6">
        <f>Table5[[#This Row],[Cost]]/Table5[[#This Row],[SizTB]]*Exchange_Rate</f>
        <v>24.995000000000001</v>
      </c>
      <c r="Y3" s="169">
        <f>Table5[[#This Row],[Cost]]+((CompareWarrYrs-Table5[[#This Row],[S]])*(Incremental_Warr_Yr*Table5[[#This Row],[Cost]]))*Exchange_Rate</f>
        <v>121.9756</v>
      </c>
      <c r="Z3" s="6">
        <f>Table5[[#This Row],[$+Warr]]/Table5[[#This Row],[SizTB]]</f>
        <v>30.4939</v>
      </c>
      <c r="AA3" s="6">
        <f>Table5[[#This Row],[$PerTB]]/CompareWarrYrs</f>
        <v>6.0987799999999996</v>
      </c>
      <c r="AB3" s="203">
        <v>29</v>
      </c>
      <c r="AC3" s="184"/>
      <c r="AD3" s="187" t="s">
        <v>125</v>
      </c>
    </row>
    <row r="4" spans="1:30" x14ac:dyDescent="0.25">
      <c r="A4" s="1">
        <v>43298</v>
      </c>
      <c r="B4" t="s">
        <v>15</v>
      </c>
      <c r="C4" s="115" t="s">
        <v>16</v>
      </c>
      <c r="D4" s="31" t="s">
        <v>49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175.95</v>
      </c>
      <c r="X4" s="6">
        <f>Table5[[#This Row],[Cost]]/Table5[[#This Row],[SizTB]]*Exchange_Rate</f>
        <v>29.324999999999999</v>
      </c>
      <c r="Y4" s="170">
        <f>Table5[[#This Row],[Cost]]+((CompareWarrYrs-Table5[[#This Row],[S]])*(Incremental_Warr_Yr*Table5[[#This Row],[Cost]]))*Exchange_Rate</f>
        <v>214.65899999999999</v>
      </c>
      <c r="Z4" s="6">
        <f>Table5[[#This Row],[$+Warr]]/Table5[[#This Row],[SizTB]]</f>
        <v>35.776499999999999</v>
      </c>
      <c r="AA4" s="6">
        <f>Table5[[#This Row],[$PerTB]]/CompareWarrYrs</f>
        <v>7.1552999999999995</v>
      </c>
      <c r="AB4" s="183">
        <v>29</v>
      </c>
      <c r="AC4" s="184"/>
      <c r="AD4" s="84" t="s">
        <v>78</v>
      </c>
    </row>
    <row r="5" spans="1:30" x14ac:dyDescent="0.25">
      <c r="A5" s="1">
        <v>43284</v>
      </c>
      <c r="B5" t="s">
        <v>15</v>
      </c>
      <c r="C5" s="115" t="s">
        <v>16</v>
      </c>
      <c r="D5" s="31" t="s">
        <v>49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249.89</v>
      </c>
      <c r="X5" s="6">
        <f>Table5[[#This Row],[Cost]]/Table5[[#This Row],[SizTB]]*Exchange_Rate</f>
        <v>31.236249999999998</v>
      </c>
      <c r="Y5" s="170">
        <f>Table5[[#This Row],[Cost]]+((CompareWarrYrs-Table5[[#This Row],[S]])*(Incremental_Warr_Yr*Table5[[#This Row],[Cost]]))*Exchange_Rate</f>
        <v>304.86579999999998</v>
      </c>
      <c r="Z5" s="6">
        <f>Table5[[#This Row],[$+Warr]]/Table5[[#This Row],[SizTB]]</f>
        <v>38.108224999999997</v>
      </c>
      <c r="AA5" s="6">
        <f>Table5[[#This Row],[$PerTB]]/CompareWarrYrs</f>
        <v>7.6216449999999991</v>
      </c>
      <c r="AB5" s="183">
        <v>29</v>
      </c>
      <c r="AC5" s="184"/>
      <c r="AD5" s="44"/>
    </row>
    <row r="6" spans="1:30" x14ac:dyDescent="0.25">
      <c r="A6" s="1">
        <v>43292</v>
      </c>
      <c r="B6" t="s">
        <v>15</v>
      </c>
      <c r="C6" s="115" t="s">
        <v>16</v>
      </c>
      <c r="D6" s="31" t="s">
        <v>49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v>289.99</v>
      </c>
      <c r="X6" s="6">
        <f>Table5[[#This Row],[Cost]]/Table5[[#This Row],[SizTB]]*Exchange_Rate</f>
        <v>28.999000000000002</v>
      </c>
      <c r="Y6" s="170">
        <f>Table5[[#This Row],[Cost]]+((CompareWarrYrs-Table5[[#This Row],[S]])*(Incremental_Warr_Yr*Table5[[#This Row],[Cost]]))*Exchange_Rate</f>
        <v>353.7878</v>
      </c>
      <c r="Z6" s="6">
        <f>Table5[[#This Row],[$+Warr]]/Table5[[#This Row],[SizTB]]</f>
        <v>35.378779999999999</v>
      </c>
      <c r="AA6" s="6">
        <f>Table5[[#This Row],[$PerTB]]/CompareWarrYrs</f>
        <v>7.0757560000000002</v>
      </c>
      <c r="AB6" s="183">
        <v>29</v>
      </c>
      <c r="AC6" s="184"/>
      <c r="AD6" s="44"/>
    </row>
    <row r="7" spans="1:30" x14ac:dyDescent="0.25">
      <c r="A7" s="1">
        <v>43298</v>
      </c>
      <c r="B7" t="s">
        <v>15</v>
      </c>
      <c r="C7" s="115" t="s">
        <v>138</v>
      </c>
      <c r="D7" s="31" t="s">
        <v>127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48.99</v>
      </c>
      <c r="X7" s="6">
        <f>Table5[[#This Row],[Cost]]/Table5[[#This Row],[SizTB]]*Exchange_Rate</f>
        <v>48.99</v>
      </c>
      <c r="Y7" s="170">
        <f>Table5[[#This Row],[Cost]]+((CompareWarrYrs-Table5[[#This Row],[S]])*(Incremental_Warr_Yr*Table5[[#This Row],[Cost]]))*Exchange_Rate</f>
        <v>59.767800000000001</v>
      </c>
      <c r="Z7" s="6">
        <f>Table5[[#This Row],[$+Warr]]/Table5[[#This Row],[SizTB]]</f>
        <v>59.767800000000001</v>
      </c>
      <c r="AA7" s="6">
        <f>Table5[[#This Row],[$PerTB]]/CompareWarrYrs</f>
        <v>11.95356</v>
      </c>
      <c r="AB7" s="183"/>
      <c r="AC7" s="184"/>
      <c r="AD7" s="44"/>
    </row>
    <row r="8" spans="1:30" x14ac:dyDescent="0.25">
      <c r="A8" s="1">
        <v>43298</v>
      </c>
      <c r="B8" t="s">
        <v>15</v>
      </c>
      <c r="C8" s="115" t="s">
        <v>139</v>
      </c>
      <c r="D8" s="31" t="s">
        <v>127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58.75</v>
      </c>
      <c r="X8" s="6">
        <f>Table5[[#This Row],[Cost]]/Table5[[#This Row],[SizTB]]*Exchange_Rate</f>
        <v>58.75</v>
      </c>
      <c r="Y8" s="170">
        <f>Table5[[#This Row],[Cost]]+((CompareWarrYrs-Table5[[#This Row],[S]])*(Incremental_Warr_Yr*Table5[[#This Row],[Cost]]))*Exchange_Rate</f>
        <v>71.674999999999997</v>
      </c>
      <c r="Z8" s="6">
        <f>Table5[[#This Row],[$+Warr]]/Table5[[#This Row],[SizTB]]</f>
        <v>71.674999999999997</v>
      </c>
      <c r="AA8" s="6">
        <f>Table5[[#This Row],[$PerTB]]/CompareWarrYrs</f>
        <v>14.334999999999999</v>
      </c>
      <c r="AB8" s="183"/>
      <c r="AC8" s="184"/>
      <c r="AD8" s="44"/>
    </row>
    <row r="9" spans="1:30" x14ac:dyDescent="0.25">
      <c r="A9" s="1">
        <v>43094</v>
      </c>
      <c r="B9" t="s">
        <v>15</v>
      </c>
      <c r="C9" s="115" t="s">
        <v>137</v>
      </c>
      <c r="D9" s="127" t="s">
        <v>49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0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3"/>
      <c r="AC9" s="184"/>
      <c r="AD9" s="44"/>
    </row>
    <row r="10" spans="1:30" x14ac:dyDescent="0.25">
      <c r="A10" s="1">
        <v>43094</v>
      </c>
      <c r="B10" t="s">
        <v>15</v>
      </c>
      <c r="C10" s="115" t="s">
        <v>137</v>
      </c>
      <c r="D10" s="127" t="s">
        <v>49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0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3"/>
      <c r="AC10" s="184"/>
      <c r="AD10" s="44"/>
    </row>
    <row r="11" spans="1:30" x14ac:dyDescent="0.25">
      <c r="A11" s="1">
        <v>43298</v>
      </c>
      <c r="B11" t="s">
        <v>15</v>
      </c>
      <c r="C11" s="115" t="s">
        <v>147</v>
      </c>
      <c r="D11" s="127" t="s">
        <v>49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120.89</v>
      </c>
      <c r="X11" s="180">
        <f>Table5[[#This Row],[Cost]]/Table5[[#This Row],[SizTB]]*Exchange_Rate</f>
        <v>60.445</v>
      </c>
      <c r="Y11" s="170">
        <f>Table5[[#This Row],[Cost]]+((CompareWarrYrs-Table5[[#This Row],[S]])*(Incremental_Warr_Yr*Table5[[#This Row],[Cost]]))</f>
        <v>120.89</v>
      </c>
      <c r="Z11" s="6">
        <f>Table5[[#This Row],[$+Warr]]/Table5[[#This Row],[SizTB]]</f>
        <v>60.445</v>
      </c>
      <c r="AA11" s="180">
        <f>Table5[[#This Row],[$PerTB]]/CompareWarrYrs</f>
        <v>12.089</v>
      </c>
      <c r="AB11"/>
      <c r="AC11" s="184"/>
      <c r="AD11" s="44"/>
    </row>
    <row r="12" spans="1:30" x14ac:dyDescent="0.25">
      <c r="A12" s="1">
        <v>43284</v>
      </c>
      <c r="B12" t="s">
        <v>15</v>
      </c>
      <c r="C12" s="115" t="s">
        <v>147</v>
      </c>
      <c r="D12" s="127" t="s">
        <v>49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170</v>
      </c>
      <c r="X12" s="180">
        <f>Table5[[#This Row],[Cost]]/Table5[[#This Row],[SizTB]]*Exchange_Rate</f>
        <v>56.666666666666664</v>
      </c>
      <c r="Y12" s="170">
        <f>Table5[[#This Row],[Cost]]+((CompareWarrYrs-Table5[[#This Row],[S]])*(Incremental_Warr_Yr*Table5[[#This Row],[Cost]]))</f>
        <v>170</v>
      </c>
      <c r="Z12" s="6">
        <f>Table5[[#This Row],[$+Warr]]/Table5[[#This Row],[SizTB]]</f>
        <v>56.666666666666664</v>
      </c>
      <c r="AA12" s="180">
        <f>Table5[[#This Row],[$PerTB]]/CompareWarrYrs</f>
        <v>11.333333333333332</v>
      </c>
      <c r="AB12" s="183"/>
      <c r="AC12" s="184"/>
      <c r="AD12" s="44"/>
    </row>
    <row r="13" spans="1:30" x14ac:dyDescent="0.25">
      <c r="A13" s="1">
        <v>43298</v>
      </c>
      <c r="B13" t="s">
        <v>15</v>
      </c>
      <c r="C13" s="115" t="s">
        <v>147</v>
      </c>
      <c r="D13" s="127" t="s">
        <v>49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119.59</v>
      </c>
      <c r="X13" s="180">
        <f>Table5[[#This Row],[Cost]]/Table5[[#This Row],[SizTB]]*Exchange_Rate</f>
        <v>29.897500000000001</v>
      </c>
      <c r="Y13" s="170">
        <f>Table5[[#This Row],[Cost]]+((CompareWarrYrs-Table5[[#This Row],[S]])*(Incremental_Warr_Yr*Table5[[#This Row],[Cost]]))</f>
        <v>119.59</v>
      </c>
      <c r="Z13" s="6">
        <f>Table5[[#This Row],[$+Warr]]/Table5[[#This Row],[SizTB]]</f>
        <v>29.897500000000001</v>
      </c>
      <c r="AA13" s="180">
        <f>Table5[[#This Row],[$PerTB]]/CompareWarrYrs</f>
        <v>5.9794999999999998</v>
      </c>
      <c r="AB13" s="183"/>
      <c r="AC13" s="184"/>
      <c r="AD13" s="44"/>
    </row>
    <row r="14" spans="1:30" x14ac:dyDescent="0.25">
      <c r="A14" s="1">
        <v>43298</v>
      </c>
      <c r="B14" t="s">
        <v>15</v>
      </c>
      <c r="C14" s="115" t="s">
        <v>136</v>
      </c>
      <c r="D14" s="31" t="s">
        <v>49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154.21</v>
      </c>
      <c r="X14" s="6">
        <f>Table5[[#This Row],[Cost]]/Table5[[#This Row],[SizTB]]*Exchange_Rate</f>
        <v>77.105000000000004</v>
      </c>
      <c r="Y14" s="170">
        <f>Table5[[#This Row],[Cost]]+((CompareWarrYrs-Table5[[#This Row],[S]])*(Incremental_Warr_Yr*Table5[[#This Row],[Cost]]))*Exchange_Rate</f>
        <v>154.21</v>
      </c>
      <c r="Z14" s="6">
        <f>Table5[[#This Row],[$+Warr]]/Table5[[#This Row],[SizTB]]</f>
        <v>77.105000000000004</v>
      </c>
      <c r="AA14" s="6">
        <f>Table5[[#This Row],[$PerTB]]/CompareWarrYrs</f>
        <v>15.421000000000001</v>
      </c>
      <c r="AB14" s="183">
        <f>10*2.9</f>
        <v>29</v>
      </c>
      <c r="AC14" s="184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136</v>
      </c>
      <c r="D15" s="31" t="s">
        <v>49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0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3">
        <f t="shared" ref="AB15:AB17" si="2">10*2.9</f>
        <v>29</v>
      </c>
      <c r="AC15" s="184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136</v>
      </c>
      <c r="D16" s="31" t="s">
        <v>49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0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3">
        <f t="shared" si="2"/>
        <v>29</v>
      </c>
      <c r="AC16" s="184">
        <f t="shared" si="3"/>
        <v>36</v>
      </c>
      <c r="AD16" s="44"/>
    </row>
    <row r="17" spans="1:30" x14ac:dyDescent="0.25">
      <c r="A17" s="1">
        <v>43179</v>
      </c>
      <c r="B17" t="s">
        <v>15</v>
      </c>
      <c r="C17" s="115" t="s">
        <v>136</v>
      </c>
      <c r="D17" s="31" t="s">
        <v>49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f>273.99+7.73</f>
        <v>281.72000000000003</v>
      </c>
      <c r="X17" s="6">
        <f>Table5[[#This Row],[Cost]]/Table5[[#This Row],[SizTB]]*Exchange_Rate</f>
        <v>46.95333333333334</v>
      </c>
      <c r="Y17" s="170">
        <f>Table5[[#This Row],[Cost]]+((CompareWarrYrs-Table5[[#This Row],[S]])*(Incremental_Warr_Yr*Table5[[#This Row],[Cost]]))*Exchange_Rate</f>
        <v>281.72000000000003</v>
      </c>
      <c r="Z17" s="6">
        <f>Table5[[#This Row],[$+Warr]]/Table5[[#This Row],[SizTB]]</f>
        <v>46.95333333333334</v>
      </c>
      <c r="AA17" s="6">
        <f>Table5[[#This Row],[$PerTB]]/CompareWarrYrs</f>
        <v>9.390666666666668</v>
      </c>
      <c r="AB17" s="183">
        <f t="shared" si="2"/>
        <v>29</v>
      </c>
      <c r="AC17" s="184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120</v>
      </c>
      <c r="D18" s="31" t="s">
        <v>110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40">
        <v>373</v>
      </c>
      <c r="X18" s="6">
        <f>Table5[[#This Row],[Cost]]/Table5[[#This Row],[SizTB]]*Exchange_Rate</f>
        <v>46.625</v>
      </c>
      <c r="Y18" s="170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3"/>
      <c r="AC18" s="184"/>
      <c r="AD18" s="122" t="s">
        <v>96</v>
      </c>
    </row>
    <row r="19" spans="1:30" x14ac:dyDescent="0.25">
      <c r="A19" s="1">
        <v>43114</v>
      </c>
      <c r="B19" t="s">
        <v>15</v>
      </c>
      <c r="C19" s="115" t="s">
        <v>149</v>
      </c>
      <c r="D19" s="127" t="s">
        <v>49</v>
      </c>
      <c r="E19" s="98">
        <v>2.5</v>
      </c>
      <c r="F19" s="85">
        <v>0.9</v>
      </c>
      <c r="G19" s="46">
        <v>10520</v>
      </c>
      <c r="H19" s="5">
        <v>2.85</v>
      </c>
      <c r="I19" s="5">
        <v>8.5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0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3"/>
      <c r="AC19" s="184"/>
      <c r="AD19" s="44"/>
    </row>
    <row r="20" spans="1:30" x14ac:dyDescent="0.25">
      <c r="A20" s="1">
        <v>43114</v>
      </c>
      <c r="B20" t="s">
        <v>15</v>
      </c>
      <c r="C20" s="115" t="s">
        <v>97</v>
      </c>
      <c r="D20" s="113" t="s">
        <v>49</v>
      </c>
      <c r="E20" s="98">
        <v>2.5</v>
      </c>
      <c r="F20" s="85">
        <v>1.2</v>
      </c>
      <c r="G20" s="46">
        <v>10520</v>
      </c>
      <c r="H20" s="5">
        <v>2.85</v>
      </c>
      <c r="I20" s="5">
        <v>8.5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0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3"/>
      <c r="AC20" s="184"/>
      <c r="AD20" s="44"/>
    </row>
    <row r="21" spans="1:30" x14ac:dyDescent="0.25">
      <c r="A21" s="1">
        <v>43114</v>
      </c>
      <c r="B21" t="s">
        <v>15</v>
      </c>
      <c r="C21" s="115" t="s">
        <v>86</v>
      </c>
      <c r="D21" s="113" t="s">
        <v>49</v>
      </c>
      <c r="E21" s="98">
        <v>2.5</v>
      </c>
      <c r="F21" s="85">
        <v>1.8</v>
      </c>
      <c r="G21" s="46">
        <v>10520</v>
      </c>
      <c r="H21" s="5">
        <v>2.85</v>
      </c>
      <c r="I21" s="5">
        <v>8.5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0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3"/>
      <c r="AC21" s="184"/>
      <c r="AD21" s="44"/>
    </row>
    <row r="22" spans="1:30" x14ac:dyDescent="0.25">
      <c r="A22" s="1">
        <v>43284</v>
      </c>
      <c r="B22" t="s">
        <v>15</v>
      </c>
      <c r="C22" s="115" t="s">
        <v>87</v>
      </c>
      <c r="D22" s="113" t="s">
        <v>49</v>
      </c>
      <c r="E22" s="98">
        <v>2.5</v>
      </c>
      <c r="F22" s="85">
        <v>0.6</v>
      </c>
      <c r="G22" s="46">
        <v>15030</v>
      </c>
      <c r="H22" s="5">
        <v>1.99</v>
      </c>
      <c r="I22" s="5">
        <v>8.5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169.99</v>
      </c>
      <c r="X22" s="6">
        <f>Table5[[#This Row],[Cost]]/Table5[[#This Row],[SizTB]]*Exchange_Rate</f>
        <v>283.31666666666672</v>
      </c>
      <c r="Y22" s="170">
        <f>Table5[[#This Row],[Cost]]+((CompareWarrYrs-Table5[[#This Row],[S]])*(Incremental_Warr_Yr*Table5[[#This Row],[Cost]]))*Exchange_Rate</f>
        <v>169.99</v>
      </c>
      <c r="Z22" s="6">
        <f>Table5[[#This Row],[$+Warr]]/Table5[[#This Row],[SizTB]]</f>
        <v>283.31666666666672</v>
      </c>
      <c r="AA22" s="6">
        <f>Table5[[#This Row],[$PerTB]]/CompareWarrYrs</f>
        <v>56.663333333333341</v>
      </c>
      <c r="AB22" s="183"/>
      <c r="AC22" s="184"/>
      <c r="AD22" s="122" t="s">
        <v>124</v>
      </c>
    </row>
    <row r="23" spans="1:30" x14ac:dyDescent="0.25">
      <c r="A23" s="1">
        <v>43284</v>
      </c>
      <c r="B23" t="s">
        <v>15</v>
      </c>
      <c r="C23" s="115" t="s">
        <v>121</v>
      </c>
      <c r="D23" s="31" t="s">
        <v>49</v>
      </c>
      <c r="E23" s="98">
        <v>3.5</v>
      </c>
      <c r="F23" s="85">
        <v>6</v>
      </c>
      <c r="G23" s="46">
        <v>7200</v>
      </c>
      <c r="H23" s="5">
        <v>4.16</v>
      </c>
      <c r="I23" s="5">
        <v>8.5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f>313.6+12.95</f>
        <v>326.55</v>
      </c>
      <c r="X23" s="6">
        <f>Table5[[#This Row],[Cost]]/Table5[[#This Row],[SizTB]]*Exchange_Rate</f>
        <v>54.425000000000004</v>
      </c>
      <c r="Y23" s="170">
        <f>Table5[[#This Row],[Cost]]+((CompareWarrYrs-Table5[[#This Row],[S]])*(Incremental_Warr_Yr*Table5[[#This Row],[Cost]]))*Exchange_Rate</f>
        <v>326.55</v>
      </c>
      <c r="Z23" s="6">
        <f>Table5[[#This Row],[$+Warr]]/Table5[[#This Row],[SizTB]]</f>
        <v>54.425000000000004</v>
      </c>
      <c r="AA23" s="6">
        <f>Table5[[#This Row],[$PerTB]]/CompareWarrYrs</f>
        <v>10.885000000000002</v>
      </c>
      <c r="AB23" s="183">
        <v>20</v>
      </c>
      <c r="AC23" s="184"/>
      <c r="AD23" s="122" t="s">
        <v>37</v>
      </c>
    </row>
    <row r="24" spans="1:30" x14ac:dyDescent="0.25">
      <c r="A24" s="1">
        <v>43284</v>
      </c>
      <c r="B24" t="s">
        <v>15</v>
      </c>
      <c r="C24" s="115" t="s">
        <v>152</v>
      </c>
      <c r="D24" s="31" t="s">
        <v>49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330.59</v>
      </c>
      <c r="X24" s="6">
        <f>Table5[[#This Row],[Cost]]/Table5[[#This Row],[SizTB]]*Exchange_Rate</f>
        <v>41.323749999999997</v>
      </c>
      <c r="Y24" s="170">
        <f>Table5[[#This Row],[Cost]]+((CompareWarrYrs-Table5[[#This Row],[S]])*(Incremental_Warr_Yr*Table5[[#This Row],[Cost]]))*Exchange_Rate</f>
        <v>330.59</v>
      </c>
      <c r="Z24" s="6">
        <f>Table5[[#This Row],[$+Warr]]/Table5[[#This Row],[SizTB]]</f>
        <v>41.323749999999997</v>
      </c>
      <c r="AA24" s="6">
        <f>Table5[[#This Row],[$PerTB]]/CompareWarrYrs</f>
        <v>8.2647499999999994</v>
      </c>
      <c r="AB24" s="183">
        <v>20</v>
      </c>
      <c r="AC24" s="184">
        <v>36</v>
      </c>
      <c r="AD24" s="122" t="s">
        <v>123</v>
      </c>
    </row>
    <row r="25" spans="1:30" ht="17.25" x14ac:dyDescent="0.25">
      <c r="A25" s="1">
        <v>43284</v>
      </c>
      <c r="B25" t="s">
        <v>15</v>
      </c>
      <c r="C25" s="115" t="s">
        <v>112</v>
      </c>
      <c r="D25" s="31" t="s">
        <v>49</v>
      </c>
      <c r="E25" s="98">
        <v>3.5</v>
      </c>
      <c r="F25" s="85">
        <v>10</v>
      </c>
      <c r="G25" s="46">
        <v>7200</v>
      </c>
      <c r="H25" s="5">
        <v>4.16</v>
      </c>
      <c r="I25" s="5">
        <v>8.5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6">
        <f>Table5[Energy$year]/Table5[[#This Row],[SizTB]]</f>
        <v>0.58730592000000004</v>
      </c>
      <c r="W25" s="165">
        <v>344.56</v>
      </c>
      <c r="X25" s="6">
        <f>Table5[[#This Row],[Cost]]/Table5[[#This Row],[SizTB]]*Exchange_Rate</f>
        <v>34.456000000000003</v>
      </c>
      <c r="Y25" s="170">
        <f>Table5[[#This Row],[Cost]]+((CompareWarrYrs-Table5[[#This Row],[S]])*(Incremental_Warr_Yr*Table5[[#This Row],[Cost]]))*Exchange_Rate</f>
        <v>344.56</v>
      </c>
      <c r="Z25" s="6">
        <f>Table5[[#This Row],[$+Warr]]/Table5[[#This Row],[SizTB]]</f>
        <v>34.456000000000003</v>
      </c>
      <c r="AA25" s="6">
        <f>Table5[[#This Row],[$PerTB]]/CompareWarrYrs</f>
        <v>6.8912000000000004</v>
      </c>
      <c r="AB25" s="183">
        <v>20</v>
      </c>
      <c r="AC25" s="184">
        <v>36</v>
      </c>
      <c r="AD25" s="122" t="s">
        <v>37</v>
      </c>
    </row>
    <row r="26" spans="1:30" ht="17.25" x14ac:dyDescent="0.25">
      <c r="A26" s="1">
        <v>43284</v>
      </c>
      <c r="B26" t="s">
        <v>15</v>
      </c>
      <c r="C26" s="115" t="s">
        <v>111</v>
      </c>
      <c r="D26" s="111" t="s">
        <v>49</v>
      </c>
      <c r="E26" s="98">
        <v>3.5</v>
      </c>
      <c r="F26" s="85">
        <v>12</v>
      </c>
      <c r="G26" s="46">
        <v>7200</v>
      </c>
      <c r="H26" s="5">
        <v>4.16</v>
      </c>
      <c r="I26" s="5">
        <v>8.5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6">
        <f>Table5[Energy$year]/Table5[[#This Row],[SizTB]]</f>
        <v>0.51864080000000001</v>
      </c>
      <c r="W26" s="165">
        <v>429.99</v>
      </c>
      <c r="X26" s="6">
        <f>Table5[[#This Row],[Cost]]/Table5[[#This Row],[SizTB]]*Exchange_Rate</f>
        <v>35.832500000000003</v>
      </c>
      <c r="Y26" s="170">
        <f>Table5[[#This Row],[Cost]]+((CompareWarrYrs-Table5[[#This Row],[S]])*(Incremental_Warr_Yr*Table5[[#This Row],[Cost]]))*Exchange_Rate</f>
        <v>429.99</v>
      </c>
      <c r="Z26" s="6">
        <f>Table5[[#This Row],[$+Warr]]/Table5[[#This Row],[SizTB]]</f>
        <v>35.832500000000003</v>
      </c>
      <c r="AA26" s="6">
        <f>Table5[[#This Row],[$PerTB]]/CompareWarrYrs</f>
        <v>7.166500000000001</v>
      </c>
      <c r="AB26" s="183">
        <v>20</v>
      </c>
      <c r="AC26" s="184">
        <v>36</v>
      </c>
      <c r="AD26" s="122" t="s">
        <v>37</v>
      </c>
    </row>
    <row r="27" spans="1:30" ht="18" thickBot="1" x14ac:dyDescent="0.3">
      <c r="A27" s="69">
        <v>43127</v>
      </c>
      <c r="B27" s="70" t="s">
        <v>15</v>
      </c>
      <c r="C27" s="114" t="s">
        <v>98</v>
      </c>
      <c r="D27" s="71" t="s">
        <v>110</v>
      </c>
      <c r="E27" s="100">
        <v>3.5</v>
      </c>
      <c r="F27" s="86">
        <v>14</v>
      </c>
      <c r="G27" s="72">
        <v>7200</v>
      </c>
      <c r="H27" s="73">
        <v>4.16</v>
      </c>
      <c r="I27" s="73">
        <v>8.5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7">
        <f>Table5[Energy$year]/Table5[[#This Row],[SizTB]]</f>
        <v>0.4257654857142858</v>
      </c>
      <c r="W27" s="196">
        <v>650</v>
      </c>
      <c r="X27" s="173">
        <f>Table5[[#This Row],[Cost]]/Table5[[#This Row],[SizTB]]*Exchange_Rate</f>
        <v>46.428571428571431</v>
      </c>
      <c r="Y27" s="174">
        <f>Table5[[#This Row],[Cost]]+((CompareWarrYrs-Table5[[#This Row],[S]])*(Incremental_Warr_Yr*Table5[[#This Row],[Cost]]))*Exchange_Rate</f>
        <v>650</v>
      </c>
      <c r="Z27" s="173">
        <f>Table5[[#This Row],[$+Warr]]/Table5[[#This Row],[SizTB]]</f>
        <v>46.428571428571431</v>
      </c>
      <c r="AA27" s="173">
        <f>Table5[[#This Row],[$PerTB]]/CompareWarrYrs</f>
        <v>9.2857142857142865</v>
      </c>
      <c r="AB27" s="194">
        <v>20</v>
      </c>
      <c r="AC27" s="195">
        <v>36</v>
      </c>
      <c r="AD27" s="123" t="s">
        <v>96</v>
      </c>
    </row>
    <row r="28" spans="1:30" ht="15.75" thickTop="1" x14ac:dyDescent="0.25">
      <c r="A28" s="124">
        <v>43064</v>
      </c>
      <c r="B28" s="7" t="s">
        <v>10</v>
      </c>
      <c r="C28" s="125" t="s">
        <v>135</v>
      </c>
      <c r="D28" s="99" t="s">
        <v>110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6">
        <f>Table5[Energy$year]/Table5[[#This Row],[SizTB]]</f>
        <v>0.85466160000000002</v>
      </c>
      <c r="W28" s="165">
        <v>212</v>
      </c>
      <c r="X28" s="175">
        <f>Table5[[#This Row],[Cost]]/Table5[[#This Row],[SizTB]]*Exchange_Rate</f>
        <v>42.4</v>
      </c>
      <c r="Y28" s="170">
        <f>Table5[[#This Row],[Cost]]+((CompareWarrYrs-Table5[[#This Row],[S]])*(Incremental_Warr_Yr*Table5[[#This Row],[Cost]]))*Exchange_Rate</f>
        <v>258.64</v>
      </c>
      <c r="Z28" s="175">
        <f>Table5[[#This Row],[$+Warr]]/Table5[[#This Row],[SizTB]]</f>
        <v>51.727999999999994</v>
      </c>
      <c r="AA28" s="175">
        <f>Table5[[#This Row],[$PerTB]]/CompareWarrYrs</f>
        <v>10.345599999999999</v>
      </c>
      <c r="AB28" s="183"/>
      <c r="AC28" s="184"/>
      <c r="AD28" s="122"/>
    </row>
    <row r="29" spans="1:30" x14ac:dyDescent="0.25">
      <c r="A29" s="124">
        <v>43064</v>
      </c>
      <c r="B29" s="7" t="s">
        <v>10</v>
      </c>
      <c r="C29" s="125" t="s">
        <v>135</v>
      </c>
      <c r="D29" s="99" t="s">
        <v>110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6">
        <f>Table5[Energy$year]/Table5[[#This Row],[SizTB]]</f>
        <v>1.00441</v>
      </c>
      <c r="W29" s="165">
        <v>194.79</v>
      </c>
      <c r="X29" s="6">
        <f>Table5[[#This Row],[Cost]]/Table5[[#This Row],[SizTB]]*Exchange_Rate</f>
        <v>32.464999999999996</v>
      </c>
      <c r="Y29" s="170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3"/>
      <c r="AC29" s="184"/>
      <c r="AD29" s="122"/>
    </row>
    <row r="30" spans="1:30" x14ac:dyDescent="0.25">
      <c r="A30" s="124">
        <v>43066</v>
      </c>
      <c r="B30" s="7" t="s">
        <v>10</v>
      </c>
      <c r="C30" s="125" t="s">
        <v>135</v>
      </c>
      <c r="D30" s="99" t="s">
        <v>110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6">
        <f>Table5[Energy$year]/Table5[[#This Row],[SizTB]]</f>
        <v>0.75330750000000002</v>
      </c>
      <c r="W30" s="165">
        <v>221.88</v>
      </c>
      <c r="X30" s="6">
        <f>Table5[[#This Row],[Cost]]/Table5[[#This Row],[SizTB]]*Exchange_Rate</f>
        <v>27.734999999999999</v>
      </c>
      <c r="Y30" s="170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3"/>
      <c r="AC30" s="184"/>
      <c r="AD30" s="122"/>
    </row>
    <row r="31" spans="1:30" x14ac:dyDescent="0.25">
      <c r="A31" s="1">
        <v>43259</v>
      </c>
      <c r="B31" t="s">
        <v>10</v>
      </c>
      <c r="C31" s="115" t="s">
        <v>11</v>
      </c>
      <c r="D31" s="31" t="s">
        <v>127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6">
        <f>Table5[Energy$year]/Table5[[#This Row],[SizTB]]</f>
        <v>0.76700400000000002</v>
      </c>
      <c r="W31" s="165">
        <v>41.99</v>
      </c>
      <c r="X31" s="6">
        <f>Table5[[#This Row],[Cost]]/Table5[[#This Row],[SizTB]]*Exchange_Rate</f>
        <v>41.99</v>
      </c>
      <c r="Y31" s="170">
        <f>Table5[[#This Row],[Cost]]+((CompareWarrYrs-Table5[[#This Row],[S]])*(Incremental_Warr_Yr*Table5[[#This Row],[Cost]]))*Exchange_Rate</f>
        <v>55.846699999999998</v>
      </c>
      <c r="Z31" s="6">
        <f>Table5[[#This Row],[$+Warr]]/Table5[[#This Row],[SizTB]]</f>
        <v>55.846699999999998</v>
      </c>
      <c r="AA31" s="6">
        <f>Table5[[#This Row],[$PerTB]]/CompareWarrYrs</f>
        <v>11.16934</v>
      </c>
      <c r="AB31" s="183">
        <v>22</v>
      </c>
      <c r="AC31" s="184">
        <v>24</v>
      </c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127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6">
        <f>Table5[Energy$year]/Table5[[#This Row],[SizTB]]</f>
        <v>0.41637360000000001</v>
      </c>
      <c r="W32" s="165">
        <v>84.99</v>
      </c>
      <c r="X32" s="6">
        <f>Table5[[#This Row],[Cost]]/Table5[[#This Row],[SizTB]]*Exchange_Rate</f>
        <v>42.494999999999997</v>
      </c>
      <c r="Y32" s="170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3">
        <v>24</v>
      </c>
      <c r="AC32" s="184">
        <v>26</v>
      </c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127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6">
        <f>Table5[Energy$year]/Table5[[#This Row],[SizTB]]</f>
        <v>0.47481200000000007</v>
      </c>
      <c r="W33" s="165">
        <v>129.99</v>
      </c>
      <c r="X33" s="6">
        <f>Table5[[#This Row],[Cost]]/Table5[[#This Row],[SizTB]]*Exchange_Rate</f>
        <v>43.330000000000005</v>
      </c>
      <c r="Y33" s="170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3">
        <v>26</v>
      </c>
      <c r="AC33" s="184">
        <v>27</v>
      </c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127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6">
        <f>Table5[Energy$year]/Table5[[#This Row],[SizTB]]</f>
        <v>0.35610900000000006</v>
      </c>
      <c r="W34" s="165">
        <v>157.09</v>
      </c>
      <c r="X34" s="6">
        <f>Table5[[#This Row],[Cost]]/Table5[[#This Row],[SizTB]]*Exchange_Rate</f>
        <v>39.272500000000001</v>
      </c>
      <c r="Y34" s="170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3">
        <v>26</v>
      </c>
      <c r="AC34" s="184">
        <v>27</v>
      </c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127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6">
        <f>Table5[Energy$year]/Table5[[#This Row],[SizTB]]</f>
        <v>0.28488720000000006</v>
      </c>
      <c r="W35" s="165">
        <v>196.22</v>
      </c>
      <c r="X35" s="6">
        <f>Table5[[#This Row],[Cost]]/Table5[[#This Row],[SizTB]]*Exchange_Rate</f>
        <v>39.244</v>
      </c>
      <c r="Y35" s="170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3">
        <v>26</v>
      </c>
      <c r="AC35" s="184">
        <v>27</v>
      </c>
      <c r="AD35" s="44"/>
    </row>
    <row r="36" spans="1:30" x14ac:dyDescent="0.25">
      <c r="A36" s="1">
        <v>43190</v>
      </c>
      <c r="B36" t="s">
        <v>10</v>
      </c>
      <c r="C36" s="115" t="s">
        <v>11</v>
      </c>
      <c r="D36" s="31" t="s">
        <v>128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6">
        <f>Table5[Energy$year]/Table5[[#This Row],[SizTB]]</f>
        <v>5.1937128000000001</v>
      </c>
      <c r="W36" s="165">
        <v>44.28</v>
      </c>
      <c r="X36" s="6">
        <f>Table5[[#This Row],[Cost]]/Table5[[#This Row],[SizTB]]*Exchange_Rate</f>
        <v>44.28</v>
      </c>
      <c r="Y36" s="170">
        <f>Table5[[#This Row],[Cost]]+((CompareWarrYrs-Table5[[#This Row],[S]])*(Incremental_Warr_Yr*Table5[[#This Row],[Cost]]))*Exchange_Rate</f>
        <v>58.892400000000002</v>
      </c>
      <c r="Z36" s="6">
        <f>Table5[[#This Row],[$+Warr]]/Table5[[#This Row],[SizTB]]</f>
        <v>58.892400000000002</v>
      </c>
      <c r="AA36" s="6">
        <f>Table5[[#This Row],[$PerTB]]/CompareWarrYrs</f>
        <v>11.77848</v>
      </c>
      <c r="AB36" s="183">
        <v>24</v>
      </c>
      <c r="AC36" s="184">
        <v>25</v>
      </c>
      <c r="AD36" s="44"/>
    </row>
    <row r="37" spans="1:30" x14ac:dyDescent="0.25">
      <c r="A37" s="1">
        <v>43298</v>
      </c>
      <c r="B37" t="s">
        <v>10</v>
      </c>
      <c r="C37" s="115" t="s">
        <v>11</v>
      </c>
      <c r="D37" s="127" t="s">
        <v>128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6">
        <f>Table5[Energy$year]/Table5[[#This Row],[SizTB]]</f>
        <v>3.2433312000000005</v>
      </c>
      <c r="W37" s="165">
        <v>58.99</v>
      </c>
      <c r="X37" s="6">
        <f>Table5[[#This Row],[Cost]]/Table5[[#This Row],[SizTB]]*Exchange_Rate</f>
        <v>29.495000000000001</v>
      </c>
      <c r="Y37" s="170">
        <f>Table5[[#This Row],[Cost]]+((CompareWarrYrs-Table5[[#This Row],[S]])*(Incremental_Warr_Yr*Table5[[#This Row],[Cost]]))*Exchange_Rate</f>
        <v>78.456699999999998</v>
      </c>
      <c r="Z37" s="6">
        <f>Table5[[#This Row],[$+Warr]]/Table5[[#This Row],[SizTB]]</f>
        <v>39.228349999999999</v>
      </c>
      <c r="AA37" s="6">
        <f>Table5[[#This Row],[$PerTB]]/CompareWarrYrs</f>
        <v>7.8456700000000001</v>
      </c>
      <c r="AB37" s="183">
        <f>2.1*10</f>
        <v>21</v>
      </c>
      <c r="AC37" s="184">
        <f>2.3*10</f>
        <v>23</v>
      </c>
      <c r="AD37" s="197"/>
    </row>
    <row r="38" spans="1:30" x14ac:dyDescent="0.25">
      <c r="A38" s="1">
        <v>43259</v>
      </c>
      <c r="B38" t="s">
        <v>10</v>
      </c>
      <c r="C38" s="115" t="s">
        <v>11</v>
      </c>
      <c r="D38" s="127" t="s">
        <v>128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6">
        <f>Table5[Energy$year]/Table5[[#This Row],[SizTB]]</f>
        <v>2.1622208000000005</v>
      </c>
      <c r="W38" s="165">
        <v>69.989999999999995</v>
      </c>
      <c r="X38" s="6">
        <f>Table5[[#This Row],[Cost]]/Table5[[#This Row],[SizTB]]*Exchange_Rate</f>
        <v>23.33</v>
      </c>
      <c r="Y38" s="170">
        <f>Table5[[#This Row],[Cost]]+((CompareWarrYrs-Table5[[#This Row],[S]])*(Incremental_Warr_Yr*Table5[[#This Row],[Cost]]))*Exchange_Rate</f>
        <v>93.086699999999993</v>
      </c>
      <c r="Z38" s="6">
        <f>Table5[[#This Row],[$+Warr]]/Table5[[#This Row],[SizTB]]</f>
        <v>31.028899999999997</v>
      </c>
      <c r="AA38" s="6">
        <f>Table5[[#This Row],[$PerTB]]/CompareWarrYrs</f>
        <v>6.205779999999999</v>
      </c>
      <c r="AB38" s="183">
        <f>2.4*10</f>
        <v>24</v>
      </c>
      <c r="AC38" s="184">
        <f>2.7*10</f>
        <v>27</v>
      </c>
      <c r="AD38" s="197"/>
    </row>
    <row r="39" spans="1:30" x14ac:dyDescent="0.25">
      <c r="A39" s="1">
        <v>43284</v>
      </c>
      <c r="B39" t="s">
        <v>10</v>
      </c>
      <c r="C39" s="115" t="s">
        <v>11</v>
      </c>
      <c r="D39" s="127" t="s">
        <v>128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6">
        <f>Table5[Energy$year]/Table5[[#This Row],[SizTB]]</f>
        <v>0.82179000000000002</v>
      </c>
      <c r="W39" s="165">
        <v>84.99</v>
      </c>
      <c r="X39" s="6">
        <f>Table5[[#This Row],[Cost]]/Table5[[#This Row],[SizTB]]*Exchange_Rate</f>
        <v>21.247499999999999</v>
      </c>
      <c r="Y39" s="170">
        <f>Table5[[#This Row],[Cost]]+((CompareWarrYrs-Table5[[#This Row],[S]])*(Incremental_Warr_Yr*Table5[[#This Row],[Cost]]))*Exchange_Rate</f>
        <v>113.0367</v>
      </c>
      <c r="Z39" s="6">
        <f>Table5[[#This Row],[$+Warr]]/Table5[[#This Row],[SizTB]]</f>
        <v>28.259174999999999</v>
      </c>
      <c r="AA39" s="6">
        <f>Table5[[#This Row],[$PerTB]]/CompareWarrYrs</f>
        <v>5.6518350000000002</v>
      </c>
      <c r="AB39" s="183">
        <f>2.4*10</f>
        <v>24</v>
      </c>
      <c r="AC39" s="184">
        <f>2.7*10</f>
        <v>27</v>
      </c>
      <c r="AD39" s="44"/>
    </row>
    <row r="40" spans="1:30" x14ac:dyDescent="0.25">
      <c r="A40" s="1">
        <v>43190</v>
      </c>
      <c r="B40" t="s">
        <v>10</v>
      </c>
      <c r="C40" s="115" t="s">
        <v>11</v>
      </c>
      <c r="D40" s="127" t="s">
        <v>128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6">
        <f>Table5[Energy$year]/Table5[[#This Row],[SizTB]]</f>
        <v>0.69030360000000002</v>
      </c>
      <c r="W40" s="140">
        <v>169.99</v>
      </c>
      <c r="X40" s="180">
        <f>Table5[[#This Row],[Cost]]/Table5[[#This Row],[SizTB]]*Exchange_Rate</f>
        <v>28.331666666666667</v>
      </c>
      <c r="Y40" s="170">
        <f>Table5[[#This Row],[Cost]]+((CompareWarrYrs-Table5[[#This Row],[S]])*(Incremental_Warr_Yr*Table5[[#This Row],[Cost]]))</f>
        <v>226.08670000000001</v>
      </c>
      <c r="Z40" s="6">
        <f>Table5[[#This Row],[$+Warr]]/Table5[[#This Row],[SizTB]]</f>
        <v>37.681116666666668</v>
      </c>
      <c r="AA40" s="6">
        <f>Table5[[#This Row],[$PerTB]]/CompareWarrYrs</f>
        <v>7.5362233333333339</v>
      </c>
      <c r="AB40" s="183">
        <f>2.5*10</f>
        <v>25</v>
      </c>
      <c r="AC40" s="184">
        <f>2.6*10</f>
        <v>26</v>
      </c>
      <c r="AD40" s="44"/>
    </row>
    <row r="41" spans="1:30" x14ac:dyDescent="0.25">
      <c r="A41" s="1">
        <v>43207</v>
      </c>
      <c r="B41" t="s">
        <v>10</v>
      </c>
      <c r="C41" s="115" t="s">
        <v>11</v>
      </c>
      <c r="D41" s="127" t="s">
        <v>128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6">
        <f>Table5[Energy$year]/Table5[[#This Row],[SizTB]]</f>
        <v>0.51772770000000001</v>
      </c>
      <c r="W41" s="140">
        <v>169.99</v>
      </c>
      <c r="X41" s="180">
        <f>Table5[[#This Row],[Cost]]/Table5[[#This Row],[SizTB]]*Exchange_Rate</f>
        <v>21.248750000000001</v>
      </c>
      <c r="Y41" s="170">
        <f>Table5[[#This Row],[Cost]]+((CompareWarrYrs-Table5[[#This Row],[S]])*(Incremental_Warr_Yr*Table5[[#This Row],[Cost]]))</f>
        <v>226.08670000000001</v>
      </c>
      <c r="Z41" s="6">
        <f>Table5[[#This Row],[$+Warr]]/Table5[[#This Row],[SizTB]]</f>
        <v>28.260837500000001</v>
      </c>
      <c r="AA41" s="6">
        <f>Table5[[#This Row],[$PerTB]]/CompareWarrYrs</f>
        <v>5.6521675</v>
      </c>
      <c r="AB41" s="183">
        <f>2.5*10</f>
        <v>25</v>
      </c>
      <c r="AC41" s="184">
        <f>2.6*10</f>
        <v>26</v>
      </c>
      <c r="AD41" s="44"/>
    </row>
    <row r="42" spans="1:30" x14ac:dyDescent="0.25">
      <c r="A42" s="1">
        <v>43298</v>
      </c>
      <c r="B42" t="s">
        <v>10</v>
      </c>
      <c r="C42" s="115" t="s">
        <v>18</v>
      </c>
      <c r="D42" s="31" t="s">
        <v>128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140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6">
        <f>Table5[Energy$year]/Table5[[#This Row],[SizTB]]</f>
        <v>2.7064284000000001</v>
      </c>
      <c r="W42" s="165">
        <v>110.37</v>
      </c>
      <c r="X42" s="6">
        <f>Table5[[#This Row],[Cost]]/Table5[[#This Row],[SizTB]]*Exchange_Rate</f>
        <v>55.185000000000002</v>
      </c>
      <c r="Y42" s="170">
        <f>Table5[[#This Row],[Cost]]+((CompareWarrYrs-Table5[[#This Row],[S]])*(Incremental_Warr_Yr*Table5[[#This Row],[Cost]]))*Exchange_Rate</f>
        <v>110.37</v>
      </c>
      <c r="Z42" s="6">
        <f>Table5[[#This Row],[$+Warr]]/Table5[[#This Row],[SizTB]]</f>
        <v>55.185000000000002</v>
      </c>
      <c r="AA42" s="6">
        <f>Table5[[#This Row],[$PerTB]]/CompareWarrYrs</f>
        <v>11.037000000000001</v>
      </c>
      <c r="AB42" s="183">
        <v>24</v>
      </c>
      <c r="AC42" s="184">
        <v>28</v>
      </c>
      <c r="AD42" s="44"/>
    </row>
    <row r="43" spans="1:30" x14ac:dyDescent="0.25">
      <c r="A43" s="1">
        <v>43298</v>
      </c>
      <c r="B43" t="s">
        <v>10</v>
      </c>
      <c r="C43" s="115" t="s">
        <v>18</v>
      </c>
      <c r="D43" s="127" t="s">
        <v>128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6">
        <f>Table5[Energy$year]/Table5[[#This Row],[SizTB]]</f>
        <v>1.6819302</v>
      </c>
      <c r="W43" s="165">
        <v>174.99</v>
      </c>
      <c r="X43" s="6">
        <f>Table5[[#This Row],[Cost]]/Table5[[#This Row],[SizTB]]*Exchange_Rate</f>
        <v>43.747500000000002</v>
      </c>
      <c r="Y43" s="170">
        <f>Table5[[#This Row],[Cost]]+((CompareWarrYrs-Table5[[#This Row],[S]])*(Incremental_Warr_Yr*Table5[[#This Row],[Cost]]))*Exchange_Rate</f>
        <v>174.99</v>
      </c>
      <c r="Z43" s="6">
        <f>Table5[[#This Row],[$+Warr]]/Table5[[#This Row],[SizTB]]</f>
        <v>43.747500000000002</v>
      </c>
      <c r="AA43" s="6">
        <f>Table5[[#This Row],[$PerTB]]/CompareWarrYrs</f>
        <v>8.7495000000000012</v>
      </c>
      <c r="AB43" s="183">
        <v>30</v>
      </c>
      <c r="AC43" s="184">
        <v>34</v>
      </c>
      <c r="AD43" s="44"/>
    </row>
    <row r="44" spans="1:30" x14ac:dyDescent="0.25">
      <c r="A44" s="1">
        <v>43298</v>
      </c>
      <c r="B44" t="s">
        <v>10</v>
      </c>
      <c r="C44" s="115" t="s">
        <v>18</v>
      </c>
      <c r="D44" s="127" t="s">
        <v>128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6">
        <f>Table5[Energy$year]/Table5[[#This Row],[SizTB]]</f>
        <v>1.3806072</v>
      </c>
      <c r="W44" s="165">
        <v>157.99</v>
      </c>
      <c r="X44" s="6">
        <f>Table5[[#This Row],[Cost]]/Table5[[#This Row],[SizTB]]*Exchange_Rate</f>
        <v>26.331666666666667</v>
      </c>
      <c r="Y44" s="170">
        <f>Table5[[#This Row],[Cost]]+((CompareWarrYrs-Table5[[#This Row],[S]])*(Incremental_Warr_Yr*Table5[[#This Row],[Cost]]))*Exchange_Rate</f>
        <v>157.99</v>
      </c>
      <c r="Z44" s="6">
        <f>Table5[[#This Row],[$+Warr]]/Table5[[#This Row],[SizTB]]</f>
        <v>26.331666666666667</v>
      </c>
      <c r="AA44" s="6">
        <f>Table5[[#This Row],[$PerTB]]/CompareWarrYrs</f>
        <v>5.2663333333333338</v>
      </c>
      <c r="AB44" s="183">
        <v>30</v>
      </c>
      <c r="AC44" s="184">
        <v>34</v>
      </c>
      <c r="AD44" s="44"/>
    </row>
    <row r="45" spans="1:30" x14ac:dyDescent="0.25">
      <c r="A45" s="1">
        <v>43298</v>
      </c>
      <c r="B45" t="s">
        <v>10</v>
      </c>
      <c r="C45" s="115" t="s">
        <v>18</v>
      </c>
      <c r="D45" s="127" t="s">
        <v>128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6">
        <f>Table5[Energy$year]/Table5[[#This Row],[SizTB]]</f>
        <v>0.67058064000000006</v>
      </c>
      <c r="W45" s="165">
        <v>272.63</v>
      </c>
      <c r="X45" s="6">
        <f>Table5[[#This Row],[Cost]]/Table5[[#This Row],[SizTB]]*Exchange_Rate</f>
        <v>34.078749999999999</v>
      </c>
      <c r="Y45" s="170">
        <f>Table5[[#This Row],[Cost]]+((CompareWarrYrs-Table5[[#This Row],[S]])*(Incremental_Warr_Yr*Table5[[#This Row],[Cost]]))*Exchange_Rate</f>
        <v>272.63</v>
      </c>
      <c r="Z45" s="6">
        <f>Table5[[#This Row],[$+Warr]]/Table5[[#This Row],[SizTB]]</f>
        <v>34.078749999999999</v>
      </c>
      <c r="AA45" s="6">
        <f>Table5[[#This Row],[$PerTB]]/CompareWarrYrs</f>
        <v>6.8157499999999995</v>
      </c>
      <c r="AB45" s="183">
        <v>30</v>
      </c>
      <c r="AC45" s="184">
        <v>34</v>
      </c>
      <c r="AD45" s="44"/>
    </row>
    <row r="46" spans="1:30" x14ac:dyDescent="0.25">
      <c r="A46" s="1">
        <v>43298</v>
      </c>
      <c r="B46" t="s">
        <v>10</v>
      </c>
      <c r="C46" s="115" t="s">
        <v>18</v>
      </c>
      <c r="D46" s="127" t="s">
        <v>128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6">
        <f>Table5[Energy$year]/Table5[[#This Row],[SizTB]]</f>
        <v>0.55837891200000001</v>
      </c>
      <c r="W46" s="165">
        <v>366.84</v>
      </c>
      <c r="X46" s="6">
        <f>Table5[[#This Row],[Cost]]/Table5[[#This Row],[SizTB]]*Exchange_Rate</f>
        <v>36.683999999999997</v>
      </c>
      <c r="Y46" s="170">
        <f>Table5[[#This Row],[Cost]]+((CompareWarrYrs-Table5[[#This Row],[S]])*(Incremental_Warr_Yr*Table5[[#This Row],[Cost]]))*Exchange_Rate</f>
        <v>366.84</v>
      </c>
      <c r="Z46" s="6">
        <f>Table5[[#This Row],[$+Warr]]/Table5[[#This Row],[SizTB]]</f>
        <v>36.683999999999997</v>
      </c>
      <c r="AA46" s="6">
        <f>Table5[[#This Row],[$PerTB]]/CompareWarrYrs</f>
        <v>7.3367999999999993</v>
      </c>
      <c r="AB46" s="183"/>
      <c r="AC46" s="184"/>
      <c r="AD46" s="44"/>
    </row>
    <row r="47" spans="1:30" x14ac:dyDescent="0.25">
      <c r="A47" s="1">
        <v>43190</v>
      </c>
      <c r="B47" t="s">
        <v>10</v>
      </c>
      <c r="C47" s="115" t="s">
        <v>18</v>
      </c>
      <c r="D47" s="127" t="s">
        <v>128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6">
        <f>Table5[Energy$year]/Table5[[#This Row],[SizTB]]</f>
        <v>0.49526544000000006</v>
      </c>
      <c r="W47" s="165">
        <v>439.99</v>
      </c>
      <c r="X47" s="6">
        <f>Table5[[#This Row],[Cost]]/Table5[[#This Row],[SizTB]]*Exchange_Rate</f>
        <v>36.665833333333332</v>
      </c>
      <c r="Y47" s="170">
        <f>Table5[[#This Row],[Cost]]+((CompareWarrYrs-Table5[[#This Row],[S]])*(Incremental_Warr_Yr*Table5[[#This Row],[Cost]]))*Exchange_Rate</f>
        <v>439.99</v>
      </c>
      <c r="Z47" s="6">
        <f>Table5[[#This Row],[$+Warr]]/Table5[[#This Row],[SizTB]]</f>
        <v>36.665833333333332</v>
      </c>
      <c r="AA47" s="6">
        <f>Table5[[#This Row],[$PerTB]]/CompareWarrYrs</f>
        <v>7.3331666666666662</v>
      </c>
      <c r="AB47" s="183"/>
      <c r="AC47" s="184"/>
      <c r="AD47" s="44"/>
    </row>
    <row r="48" spans="1:30" x14ac:dyDescent="0.25">
      <c r="A48" s="1">
        <v>43114</v>
      </c>
      <c r="B48" t="s">
        <v>10</v>
      </c>
      <c r="C48" s="115" t="s">
        <v>148</v>
      </c>
      <c r="D48" s="127" t="s">
        <v>49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6">
        <f>Table5[Energy$year]/Table5[[#This Row],[SizTB]]</f>
        <v>2.0922773400000003</v>
      </c>
      <c r="W48" s="140">
        <v>134.99</v>
      </c>
      <c r="X48" s="180">
        <f>Table5[[#This Row],[Cost]]/Table5[[#This Row],[SizTB]]*Exchange_Rate</f>
        <v>33.747500000000002</v>
      </c>
      <c r="Y48" s="170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0">
        <f>Table5[[#This Row],[$PerTB]]/CompareWarrYrs</f>
        <v>6.7495000000000003</v>
      </c>
      <c r="AB48" s="183"/>
      <c r="AC48" s="184"/>
      <c r="AD48" s="44"/>
    </row>
    <row r="49" spans="1:30" x14ac:dyDescent="0.25">
      <c r="A49" s="1">
        <v>43127</v>
      </c>
      <c r="B49" t="s">
        <v>10</v>
      </c>
      <c r="C49" s="115" t="s">
        <v>103</v>
      </c>
      <c r="D49" s="127" t="s">
        <v>49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6">
        <f>Table5[Energy$year]/Table5[[#This Row],[SizTB]]</f>
        <v>5.1772770000000001</v>
      </c>
      <c r="W49" s="165">
        <v>295.95</v>
      </c>
      <c r="X49" s="6">
        <f>Table5[[#This Row],[Cost]]/Table5[[#This Row],[SizTB]]*Exchange_Rate</f>
        <v>246.625</v>
      </c>
      <c r="Y49" s="170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3">
        <v>31</v>
      </c>
      <c r="AC49" s="184"/>
      <c r="AD49" s="44" t="s">
        <v>95</v>
      </c>
    </row>
    <row r="50" spans="1:30" x14ac:dyDescent="0.25">
      <c r="A50" s="1">
        <v>43127</v>
      </c>
      <c r="B50" t="s">
        <v>10</v>
      </c>
      <c r="C50" s="115" t="s">
        <v>103</v>
      </c>
      <c r="D50" s="118" t="s">
        <v>49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6">
        <f>Table5[Energy$year]/Table5[[#This Row],[SizTB]]</f>
        <v>2.9207025333333334</v>
      </c>
      <c r="W50" s="165">
        <v>379.99</v>
      </c>
      <c r="X50" s="6">
        <f>Table5[[#This Row],[Cost]]/Table5[[#This Row],[SizTB]]*Exchange_Rate</f>
        <v>211.10555555555555</v>
      </c>
      <c r="Y50" s="170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3">
        <v>31</v>
      </c>
      <c r="AC50" s="184"/>
      <c r="AD50" s="44" t="s">
        <v>95</v>
      </c>
    </row>
    <row r="51" spans="1:30" x14ac:dyDescent="0.25">
      <c r="A51" s="1">
        <v>43127</v>
      </c>
      <c r="B51" t="s">
        <v>10</v>
      </c>
      <c r="C51" s="115" t="s">
        <v>103</v>
      </c>
      <c r="D51" s="118" t="s">
        <v>49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6">
        <f>Table5[Energy$year]/Table5[[#This Row],[SizTB]]</f>
        <v>2.5722027000000001</v>
      </c>
      <c r="W51" s="165">
        <v>484.57</v>
      </c>
      <c r="X51" s="6">
        <f>Table5[[#This Row],[Cost]]/Table5[[#This Row],[SizTB]]*Exchange_Rate</f>
        <v>201.90416666666667</v>
      </c>
      <c r="Y51" s="170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3">
        <v>31</v>
      </c>
      <c r="AC51" s="184"/>
      <c r="AD51" s="44" t="s">
        <v>95</v>
      </c>
    </row>
    <row r="52" spans="1:30" x14ac:dyDescent="0.25">
      <c r="A52" s="1">
        <v>43166</v>
      </c>
      <c r="B52" t="s">
        <v>10</v>
      </c>
      <c r="C52" s="115" t="s">
        <v>104</v>
      </c>
      <c r="D52" s="118" t="s">
        <v>49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6">
        <f>Table5[Energy$year]/Table5[[#This Row],[SizTB]]</f>
        <v>7.4021973333333335</v>
      </c>
      <c r="W52" s="165">
        <v>416.96</v>
      </c>
      <c r="X52" s="6">
        <f>Table5[[#This Row],[Cost]]/Table5[[#This Row],[SizTB]]*Exchange_Rate</f>
        <v>463.28888888888883</v>
      </c>
      <c r="Y52" s="170">
        <f>Table5[[#This Row],[Cost]]+((CompareWarrYrs-Table5[[#This Row],[S]])*(Incremental_Warr_Yr*Table5[[#This Row],[Cost]]))*Exchange_Rate</f>
        <v>416.96</v>
      </c>
      <c r="Z52" s="6">
        <f>Table5[[#This Row],[$+Warr]]/Table5[[#This Row],[SizTB]]</f>
        <v>463.28888888888883</v>
      </c>
      <c r="AA52" s="6">
        <f>Table5[[#This Row],[$PerTB]]/CompareWarrYrs</f>
        <v>92.657777777777767</v>
      </c>
      <c r="AB52" s="183"/>
      <c r="AC52" s="184"/>
      <c r="AD52" s="44" t="s">
        <v>44</v>
      </c>
    </row>
    <row r="53" spans="1:30" x14ac:dyDescent="0.25">
      <c r="A53" s="1">
        <v>43166</v>
      </c>
      <c r="B53" t="s">
        <v>10</v>
      </c>
      <c r="C53" s="115" t="s">
        <v>106</v>
      </c>
      <c r="D53" s="118" t="s">
        <v>110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6">
        <f>Table5[Energy$year]/Table5[[#This Row],[SizTB]]</f>
        <v>0.55059930000000001</v>
      </c>
      <c r="W53" s="164">
        <v>281.99</v>
      </c>
      <c r="X53" s="6">
        <f>Table5[[#This Row],[Cost]]/Table5[[#This Row],[SizTB]]*Exchange_Rate</f>
        <v>35.248750000000001</v>
      </c>
      <c r="Y53" s="170">
        <f>Table5[[#This Row],[Cost]]+((CompareWarrYrs-Table5[[#This Row],[S]])*(Incremental_Warr_Yr*Table5[[#This Row],[Cost]]))*Exchange_Rate</f>
        <v>344.02780000000001</v>
      </c>
      <c r="Z53" s="6">
        <f>Table5[[#This Row],[$+Warr]]/Table5[[#This Row],[SizTB]]</f>
        <v>43.003475000000002</v>
      </c>
      <c r="AA53" s="6">
        <f>Table5[[#This Row],[$PerTB]]/CompareWarrYrs</f>
        <v>8.600695</v>
      </c>
      <c r="AB53" s="183"/>
      <c r="AC53" s="184"/>
      <c r="AD53" s="112" t="s">
        <v>122</v>
      </c>
    </row>
    <row r="54" spans="1:30" x14ac:dyDescent="0.25">
      <c r="A54" s="1">
        <v>43114</v>
      </c>
      <c r="B54" t="s">
        <v>10</v>
      </c>
      <c r="C54" s="115" t="s">
        <v>105</v>
      </c>
      <c r="D54" s="118" t="s">
        <v>49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6">
        <f>Table5[Energy$year]/Table5[[#This Row],[SizTB]]</f>
        <v>5.6539152000000001</v>
      </c>
      <c r="W54" s="165">
        <v>165</v>
      </c>
      <c r="X54" s="6">
        <f>Table5[[#This Row],[Cost]]/Table5[[#This Row],[SizTB]]*Exchange_Rate</f>
        <v>165</v>
      </c>
      <c r="Y54" s="170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3"/>
      <c r="AC54" s="184"/>
      <c r="AD54" s="44"/>
    </row>
    <row r="55" spans="1:30" x14ac:dyDescent="0.25">
      <c r="A55" s="1">
        <v>43027</v>
      </c>
      <c r="B55" t="s">
        <v>10</v>
      </c>
      <c r="C55" s="115" t="s">
        <v>105</v>
      </c>
      <c r="D55" s="118" t="s">
        <v>49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6">
        <f>Table5[Energy$year]/Table5[[#This Row],[SizTB]]</f>
        <v>2.8269576000000001</v>
      </c>
      <c r="W55" s="164">
        <v>306.60000000000002</v>
      </c>
      <c r="X55" s="6">
        <f>Table5[[#This Row],[Cost]]/Table5[[#This Row],[SizTB]]*Exchange_Rate</f>
        <v>153.30000000000001</v>
      </c>
      <c r="Y55" s="170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3"/>
      <c r="AC55" s="184"/>
      <c r="AD55" s="44"/>
    </row>
    <row r="56" spans="1:30" x14ac:dyDescent="0.25">
      <c r="A56" s="1">
        <v>43298</v>
      </c>
      <c r="B56" t="s">
        <v>10</v>
      </c>
      <c r="C56" s="115" t="s">
        <v>107</v>
      </c>
      <c r="D56" s="118" t="s">
        <v>49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6">
        <f>Table5[Energy$year]/Table5[[#This Row],[SizTB]]</f>
        <v>4.1768846400000008</v>
      </c>
      <c r="W56" s="165">
        <v>176.27</v>
      </c>
      <c r="X56" s="6">
        <f>Table5[[#This Row],[Cost]]/Table5[[#This Row],[SizTB]]*Exchange_Rate</f>
        <v>176.27</v>
      </c>
      <c r="Y56" s="170">
        <f>Table5[[#This Row],[Cost]]+((CompareWarrYrs-Table5[[#This Row],[S]])*(Incremental_Warr_Yr*Table5[[#This Row],[Cost]]))*Exchange_Rate</f>
        <v>176.27</v>
      </c>
      <c r="Z56" s="6">
        <f>Table5[[#This Row],[$+Warr]]/Table5[[#This Row],[SizTB]]</f>
        <v>176.27</v>
      </c>
      <c r="AA56" s="6">
        <f>Table5[[#This Row],[$PerTB]]/CompareWarrYrs</f>
        <v>35.254000000000005</v>
      </c>
      <c r="AB56" s="183"/>
      <c r="AC56" s="184"/>
      <c r="AD56" s="44"/>
    </row>
    <row r="57" spans="1:30" x14ac:dyDescent="0.25">
      <c r="A57" s="1">
        <v>43166</v>
      </c>
      <c r="B57" t="s">
        <v>10</v>
      </c>
      <c r="C57" s="115" t="s">
        <v>107</v>
      </c>
      <c r="D57" s="118" t="s">
        <v>49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6">
        <f>Table5[Energy$year]/Table5[[#This Row],[SizTB]]</f>
        <v>2.2067800800000001</v>
      </c>
      <c r="W57" s="165">
        <v>270</v>
      </c>
      <c r="X57" s="6">
        <f>Table5[[#This Row],[Cost]]/Table5[[#This Row],[SizTB]]*Exchange_Rate</f>
        <v>135</v>
      </c>
      <c r="Y57" s="170">
        <f>Table5[[#This Row],[Cost]]+((CompareWarrYrs-Table5[[#This Row],[S]])*(Incremental_Warr_Yr*Table5[[#This Row],[Cost]]))*Exchange_Rate</f>
        <v>270</v>
      </c>
      <c r="Z57" s="6">
        <f>Table5[[#This Row],[$+Warr]]/Table5[[#This Row],[SizTB]]</f>
        <v>135</v>
      </c>
      <c r="AA57" s="6">
        <f>Table5[[#This Row],[$PerTB]]/CompareWarrYrs</f>
        <v>27</v>
      </c>
      <c r="AB57" s="183"/>
      <c r="AC57" s="184"/>
      <c r="AD57" s="44"/>
    </row>
    <row r="58" spans="1:30" x14ac:dyDescent="0.25">
      <c r="A58" s="1">
        <v>43135</v>
      </c>
      <c r="B58" t="s">
        <v>10</v>
      </c>
      <c r="C58" s="115" t="s">
        <v>102</v>
      </c>
      <c r="D58" s="31" t="s">
        <v>49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6">
        <f>Table5[Energy$year]/Table5[[#This Row],[SizTB]]</f>
        <v>5.0205890399999999</v>
      </c>
      <c r="W58" s="165">
        <f>81.74+7.73</f>
        <v>89.47</v>
      </c>
      <c r="X58" s="6">
        <f>Table5[[#This Row],[Cost]]/Table5[[#This Row],[SizTB]]*Exchange_Rate</f>
        <v>89.47</v>
      </c>
      <c r="Y58" s="170">
        <f>Table5[[#This Row],[Cost]]+((CompareWarrYrs-Table5[[#This Row],[S]])*(Incremental_Warr_Yr*Table5[[#This Row],[Cost]]))*Exchange_Rate</f>
        <v>89.47</v>
      </c>
      <c r="Z58" s="6">
        <f>Table5[[#This Row],[$+Warr]]/Table5[[#This Row],[SizTB]]</f>
        <v>89.47</v>
      </c>
      <c r="AA58" s="6">
        <f>Table5[[#This Row],[$PerTB]]/CompareWarrYrs</f>
        <v>17.893999999999998</v>
      </c>
      <c r="AB58" s="183"/>
      <c r="AC58" s="184"/>
      <c r="AD58" s="44"/>
    </row>
    <row r="59" spans="1:30" x14ac:dyDescent="0.25">
      <c r="A59" s="1">
        <v>43135</v>
      </c>
      <c r="B59" t="s">
        <v>10</v>
      </c>
      <c r="C59" s="115" t="s">
        <v>102</v>
      </c>
      <c r="D59" s="31" t="s">
        <v>49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6">
        <f>Table5[Energy$year]/Table5[[#This Row],[SizTB]]</f>
        <v>2.5091988000000001</v>
      </c>
      <c r="W59" s="165">
        <v>119.99</v>
      </c>
      <c r="X59" s="6">
        <f>Table5[[#This Row],[Cost]]/Table5[[#This Row],[SizTB]]*Exchange_Rate</f>
        <v>59.994999999999997</v>
      </c>
      <c r="Y59" s="170">
        <f>Table5[[#This Row],[Cost]]+((CompareWarrYrs-Table5[[#This Row],[S]])*(Incremental_Warr_Yr*Table5[[#This Row],[Cost]]))*Exchange_Rate</f>
        <v>119.99</v>
      </c>
      <c r="Z59" s="6">
        <f>Table5[[#This Row],[$+Warr]]/Table5[[#This Row],[SizTB]]</f>
        <v>59.994999999999997</v>
      </c>
      <c r="AA59" s="6">
        <f>Table5[[#This Row],[$PerTB]]/CompareWarrYrs</f>
        <v>11.998999999999999</v>
      </c>
      <c r="AB59" s="183"/>
      <c r="AC59" s="184"/>
      <c r="AD59" s="44"/>
    </row>
    <row r="60" spans="1:30" x14ac:dyDescent="0.25">
      <c r="A60" s="1">
        <v>43298</v>
      </c>
      <c r="B60" t="s">
        <v>10</v>
      </c>
      <c r="C60" s="115" t="s">
        <v>102</v>
      </c>
      <c r="D60" s="127" t="s">
        <v>49</v>
      </c>
      <c r="E60" s="98">
        <v>3.5</v>
      </c>
      <c r="F60" s="85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6.2894328000000002</v>
      </c>
      <c r="V60" s="166">
        <f>Table5[Energy$year]/Table5[[#This Row],[SizTB]]</f>
        <v>2.0964776000000001</v>
      </c>
      <c r="W60" s="165">
        <v>174.88</v>
      </c>
      <c r="X60" s="6">
        <f>Table5[[#This Row],[Cost]]/Table5[[#This Row],[SizTB]]*Exchange_Rate</f>
        <v>58.293333333333329</v>
      </c>
      <c r="Y60" s="170">
        <f>Table5[[#This Row],[Cost]]+((CompareWarrYrs-Table5[[#This Row],[S]])*(Incremental_Warr_Yr*Table5[[#This Row],[Cost]]))*Exchange_Rate</f>
        <v>174.88</v>
      </c>
      <c r="Z60" s="6">
        <f>Table5[[#This Row],[$+Warr]]/Table5[[#This Row],[SizTB]]</f>
        <v>58.293333333333329</v>
      </c>
      <c r="AA60" s="6">
        <f>Table5[[#This Row],[$PerTB]]/CompareWarrYrs</f>
        <v>11.658666666666665</v>
      </c>
      <c r="AB60" s="183"/>
      <c r="AC60" s="184"/>
      <c r="AD60" s="44"/>
    </row>
    <row r="61" spans="1:30" x14ac:dyDescent="0.25">
      <c r="A61" s="1">
        <v>43298</v>
      </c>
      <c r="B61" t="s">
        <v>10</v>
      </c>
      <c r="C61" s="115" t="s">
        <v>102</v>
      </c>
      <c r="D61" s="31" t="s">
        <v>49</v>
      </c>
      <c r="E61" s="98">
        <v>3.5</v>
      </c>
      <c r="F61" s="85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6.2894328000000002</v>
      </c>
      <c r="V61" s="166">
        <f>Table5[Energy$year]/Table5[[#This Row],[SizTB]]</f>
        <v>1.5723582</v>
      </c>
      <c r="W61" s="165">
        <v>139.99</v>
      </c>
      <c r="X61" s="6">
        <f>Table5[[#This Row],[Cost]]/Table5[[#This Row],[SizTB]]*Exchange_Rate</f>
        <v>34.997500000000002</v>
      </c>
      <c r="Y61" s="170">
        <v>129.99</v>
      </c>
      <c r="Z61" s="6">
        <f>Table5[[#This Row],[$+Warr]]/Table5[[#This Row],[SizTB]]</f>
        <v>32.497500000000002</v>
      </c>
      <c r="AA61" s="6">
        <f>Table5[[#This Row],[$PerTB]]/CompareWarrYrs</f>
        <v>6.4995000000000003</v>
      </c>
      <c r="AB61" s="183"/>
      <c r="AC61" s="184"/>
      <c r="AD61" s="44"/>
    </row>
    <row r="62" spans="1:30" x14ac:dyDescent="0.25">
      <c r="A62" s="1">
        <v>43135</v>
      </c>
      <c r="B62" t="s">
        <v>10</v>
      </c>
      <c r="C62" s="115" t="s">
        <v>102</v>
      </c>
      <c r="D62" s="31" t="s">
        <v>49</v>
      </c>
      <c r="E62" s="98">
        <v>3.5</v>
      </c>
      <c r="F62" s="85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9.2917056000000002</v>
      </c>
      <c r="V62" s="166">
        <f>Table5[Energy$year]/Table5[[#This Row],[SizTB]]</f>
        <v>1.5486176</v>
      </c>
      <c r="W62" s="165">
        <f>183.34+7.73</f>
        <v>191.07</v>
      </c>
      <c r="X62" s="6">
        <f>Table5[[#This Row],[Cost]]/Table5[[#This Row],[SizTB]]*Exchange_Rate</f>
        <v>31.844999999999999</v>
      </c>
      <c r="Y62" s="170">
        <f>Table5[[#This Row],[Cost]]+((CompareWarrYrs-Table5[[#This Row],[S]])*(Incremental_Warr_Yr*Table5[[#This Row],[Cost]]))*Exchange_Rate</f>
        <v>191.07</v>
      </c>
      <c r="Z62" s="6">
        <f>Table5[[#This Row],[$+Warr]]/Table5[[#This Row],[SizTB]]</f>
        <v>31.844999999999999</v>
      </c>
      <c r="AA62" s="6">
        <f>Table5[[#This Row],[$PerTB]]/CompareWarrYrs</f>
        <v>6.3689999999999998</v>
      </c>
      <c r="AB62" s="183"/>
      <c r="AC62" s="184"/>
      <c r="AD62" s="44"/>
    </row>
    <row r="63" spans="1:30" x14ac:dyDescent="0.25">
      <c r="A63" s="1">
        <v>43080</v>
      </c>
      <c r="B63" t="s">
        <v>10</v>
      </c>
      <c r="C63" s="115" t="s">
        <v>102</v>
      </c>
      <c r="D63" s="31" t="s">
        <v>49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28">
        <v>0.6</v>
      </c>
      <c r="U63" s="132">
        <f>(((Table5[[#This Row],[Watts Active]]*Power_On_Hours_Year/1000)*Active_Duty_Cycle)+((Table5[[#This Row],[Watts Idle]]*Power_On_Hours_Year/1000)*(100%-Active_Duty_Cycle)))*CostPerKWH</f>
        <v>9.0725616000000002</v>
      </c>
      <c r="V63" s="166">
        <f>Table5[Energy$year]/Table5[[#This Row],[SizTB]]</f>
        <v>1.1340702</v>
      </c>
      <c r="W63" s="165">
        <v>259.99</v>
      </c>
      <c r="X63" s="6">
        <f>Table5[[#This Row],[Cost]]/Table5[[#This Row],[SizTB]]*Exchange_Rate</f>
        <v>32.498750000000001</v>
      </c>
      <c r="Y63" s="170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3"/>
      <c r="AC63" s="184"/>
      <c r="AD63" s="44"/>
    </row>
    <row r="64" spans="1:30" x14ac:dyDescent="0.25">
      <c r="A64" s="1">
        <v>43208</v>
      </c>
      <c r="B64" t="s">
        <v>10</v>
      </c>
      <c r="C64" s="115" t="s">
        <v>109</v>
      </c>
      <c r="D64" s="118" t="s">
        <v>49</v>
      </c>
      <c r="E64" s="98">
        <v>3.5</v>
      </c>
      <c r="F64" s="85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6">
        <f>Table5[Energy$year]/Table5[[#This Row],[SizTB]]</f>
        <v>0.76152540000000002</v>
      </c>
      <c r="W64" s="202">
        <v>324.99</v>
      </c>
      <c r="X64" s="6">
        <f>Table5[[#This Row],[Cost]]/Table5[[#This Row],[SizTB]]*Exchange_Rate</f>
        <v>40.623750000000001</v>
      </c>
      <c r="Y64" s="170">
        <f>Table5[[#This Row],[Cost]]+((CompareWarrYrs-Table5[[#This Row],[S]])*(Incremental_Warr_Yr*Table5[[#This Row],[Cost]]))*Exchange_Rate</f>
        <v>324.99</v>
      </c>
      <c r="Z64" s="6">
        <f>Table5[[#This Row],[$+Warr]]/Table5[[#This Row],[SizTB]]</f>
        <v>40.623750000000001</v>
      </c>
      <c r="AA64" s="6">
        <f>Table5[[#This Row],[$PerTB]]/CompareWarrYrs</f>
        <v>8.1247500000000006</v>
      </c>
      <c r="AB64" s="183"/>
      <c r="AC64" s="184"/>
      <c r="AD64" s="44" t="s">
        <v>37</v>
      </c>
    </row>
    <row r="65" spans="1:30" x14ac:dyDescent="0.25">
      <c r="A65" s="1">
        <v>43179</v>
      </c>
      <c r="B65" t="s">
        <v>10</v>
      </c>
      <c r="C65" s="115" t="s">
        <v>109</v>
      </c>
      <c r="D65" s="118" t="s">
        <v>49</v>
      </c>
      <c r="E65" s="98">
        <v>3.5</v>
      </c>
      <c r="F65" s="85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28">
        <v>0.8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6">
        <f>Table5[Energy$year]/Table5[[#This Row],[SizTB]]</f>
        <v>0.60922032000000004</v>
      </c>
      <c r="W65" s="165">
        <v>348.5</v>
      </c>
      <c r="X65" s="6">
        <f>Table5[[#This Row],[Cost]]/Table5[[#This Row],[SizTB]]*Exchange_Rate</f>
        <v>34.85</v>
      </c>
      <c r="Y65" s="170">
        <f>Table5[[#This Row],[Cost]]+((CompareWarrYrs-Table5[[#This Row],[S]])*(Incremental_Warr_Yr*Table5[[#This Row],[Cost]]))*Exchange_Rate</f>
        <v>348.5</v>
      </c>
      <c r="Z65" s="6">
        <f>Table5[[#This Row],[$+Warr]]/Table5[[#This Row],[SizTB]]</f>
        <v>34.85</v>
      </c>
      <c r="AA65" s="6">
        <f>Table5[[#This Row],[$PerTB]]/CompareWarrYrs</f>
        <v>6.9700000000000006</v>
      </c>
      <c r="AB65" s="183"/>
      <c r="AC65" s="184"/>
      <c r="AD65" s="44" t="s">
        <v>37</v>
      </c>
    </row>
    <row r="66" spans="1:30" x14ac:dyDescent="0.25">
      <c r="A66" s="1">
        <v>43298</v>
      </c>
      <c r="B66" t="s">
        <v>10</v>
      </c>
      <c r="C66" s="115" t="s">
        <v>108</v>
      </c>
      <c r="D66" s="118" t="s">
        <v>49</v>
      </c>
      <c r="E66" s="98">
        <v>3.5</v>
      </c>
      <c r="F66" s="85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28">
        <v>1.1499999999999999</v>
      </c>
      <c r="U66" s="132">
        <f>(((Table5[[#This Row],[Watts Active]]*Power_On_Hours_Year/1000)*Active_Duty_Cycle)+((Table5[[#This Row],[Watts Idle]]*Power_On_Hours_Year/1000)*(100%-Active_Duty_Cycle)))*CostPerKWH</f>
        <v>6.0922032000000002</v>
      </c>
      <c r="V66" s="166">
        <f>Table5[Energy$year]/Table5[[#This Row],[SizTB]]</f>
        <v>0.50768360000000001</v>
      </c>
      <c r="W66" s="165">
        <v>567.42999999999995</v>
      </c>
      <c r="X66" s="6">
        <f>Table5[[#This Row],[Cost]]/Table5[[#This Row],[SizTB]]*Exchange_Rate</f>
        <v>47.285833333333329</v>
      </c>
      <c r="Y66" s="170">
        <f>Table5[[#This Row],[Cost]]+((CompareWarrYrs-Table5[[#This Row],[S]])*(Incremental_Warr_Yr*Table5[[#This Row],[Cost]]))*Exchange_Rate</f>
        <v>567.42999999999995</v>
      </c>
      <c r="Z66" s="6">
        <f>Table5[[#This Row],[$+Warr]]/Table5[[#This Row],[SizTB]]</f>
        <v>47.285833333333329</v>
      </c>
      <c r="AA66" s="6">
        <f>Table5[[#This Row],[$PerTB]]/CompareWarrYrs</f>
        <v>9.4571666666666658</v>
      </c>
      <c r="AB66" s="183"/>
      <c r="AC66" s="184"/>
      <c r="AD66" s="44" t="s">
        <v>37</v>
      </c>
    </row>
    <row r="67" spans="1:30" x14ac:dyDescent="0.25">
      <c r="A67" s="1">
        <v>43298</v>
      </c>
      <c r="B67" t="s">
        <v>10</v>
      </c>
      <c r="C67" s="115" t="s">
        <v>43</v>
      </c>
      <c r="D67" s="127" t="s">
        <v>127</v>
      </c>
      <c r="E67" s="98">
        <v>2.5</v>
      </c>
      <c r="F67" s="85">
        <v>1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1.7</v>
      </c>
      <c r="S67" s="5">
        <v>1.45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1.64358</v>
      </c>
      <c r="V67" s="166">
        <f>Table5[Energy$year]/Table5[[#This Row],[SizTB]]</f>
        <v>1.64358</v>
      </c>
      <c r="W67" s="165">
        <v>52.99</v>
      </c>
      <c r="X67" s="6">
        <f>Table5[[#This Row],[Cost]]/Table5[[#This Row],[SizTB]]*Exchange_Rate</f>
        <v>52.99</v>
      </c>
      <c r="Y67" s="170">
        <f>Table5[[#This Row],[Cost]]+((CompareWarrYrs-Table5[[#This Row],[S]])*(Incremental_Warr_Yr*Table5[[#This Row],[Cost]]))*Exchange_Rate</f>
        <v>52.99</v>
      </c>
      <c r="Z67" s="6">
        <f>Table5[[#This Row],[$+Warr]]/Table5[[#This Row],[SizTB]]</f>
        <v>52.99</v>
      </c>
      <c r="AA67" s="6">
        <f>Table5[[#This Row],[$PerTB]]/CompareWarrYrs</f>
        <v>10.598000000000001</v>
      </c>
      <c r="AB67" s="183">
        <v>22</v>
      </c>
      <c r="AC67" s="184">
        <v>24</v>
      </c>
      <c r="AD67" s="44" t="s">
        <v>44</v>
      </c>
    </row>
    <row r="68" spans="1:30" x14ac:dyDescent="0.25">
      <c r="A68" s="1">
        <v>43250</v>
      </c>
      <c r="B68" t="s">
        <v>10</v>
      </c>
      <c r="C68" s="115" t="s">
        <v>43</v>
      </c>
      <c r="D68" s="127" t="s">
        <v>127</v>
      </c>
      <c r="E68" s="98">
        <v>2.5</v>
      </c>
      <c r="F68" s="85">
        <v>2</v>
      </c>
      <c r="G68" s="46">
        <v>5400</v>
      </c>
      <c r="H68" s="5"/>
      <c r="I68" s="5"/>
      <c r="J68" s="65">
        <f>(Table5[[#This Row],[RPM]]/5400-1)</f>
        <v>0</v>
      </c>
      <c r="K68" s="49"/>
      <c r="L68">
        <v>5</v>
      </c>
      <c r="M68" s="40"/>
      <c r="O68" s="40"/>
      <c r="P68" s="39"/>
      <c r="Q68" s="57">
        <v>5</v>
      </c>
      <c r="R68" s="5">
        <v>1.8</v>
      </c>
      <c r="S68" s="5">
        <v>1.5</v>
      </c>
      <c r="T68" s="128"/>
      <c r="U68" s="132">
        <f>(((Table5[[#This Row],[Watts Active]]*Power_On_Hours_Year/1000)*Active_Duty_Cycle)+((Table5[[#This Row],[Watts Idle]]*Power_On_Hours_Year/1000)*(100%-Active_Duty_Cycle)))*CostPerKWH</f>
        <v>1.7093232</v>
      </c>
      <c r="V68" s="166">
        <f>Table5[Energy$year]/Table5[[#This Row],[SizTB]]</f>
        <v>0.85466160000000002</v>
      </c>
      <c r="W68" s="165">
        <v>74.989999999999995</v>
      </c>
      <c r="X68" s="6">
        <f>Table5[[#This Row],[Cost]]/Table5[[#This Row],[SizTB]]*Exchange_Rate</f>
        <v>37.494999999999997</v>
      </c>
      <c r="Y68" s="170">
        <f>Table5[[#This Row],[Cost]]+((CompareWarrYrs-Table5[[#This Row],[S]])*(Incremental_Warr_Yr*Table5[[#This Row],[Cost]]))*Exchange_Rate</f>
        <v>74.989999999999995</v>
      </c>
      <c r="Z68" s="6">
        <f>Table5[[#This Row],[$+Warr]]/Table5[[#This Row],[SizTB]]</f>
        <v>37.494999999999997</v>
      </c>
      <c r="AA68" s="6">
        <f>Table5[[#This Row],[$PerTB]]/CompareWarrYrs</f>
        <v>7.4989999999999997</v>
      </c>
      <c r="AB68" s="183">
        <v>24</v>
      </c>
      <c r="AC68" s="184">
        <v>26</v>
      </c>
      <c r="AD68" s="44" t="s">
        <v>44</v>
      </c>
    </row>
    <row r="69" spans="1:30" x14ac:dyDescent="0.25">
      <c r="A69" s="1">
        <v>43284</v>
      </c>
      <c r="B69" t="s">
        <v>10</v>
      </c>
      <c r="C69" s="115" t="s">
        <v>43</v>
      </c>
      <c r="D69" s="31" t="s">
        <v>128</v>
      </c>
      <c r="E69" s="98">
        <v>3.5</v>
      </c>
      <c r="F69" s="85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28">
        <v>0.63</v>
      </c>
      <c r="U69" s="132">
        <f>(((Table5[[#This Row],[Watts Active]]*Power_On_Hours_Year/1000)*Active_Duty_Cycle)+((Table5[[#This Row],[Watts Idle]]*Power_On_Hours_Year/1000)*(100%-Active_Duty_Cycle)))*CostPerKWH</f>
        <v>5.2375416000000001</v>
      </c>
      <c r="V69" s="166">
        <f>Table5[Energy$year]/Table5[[#This Row],[SizTB]]</f>
        <v>5.2375416000000001</v>
      </c>
      <c r="W69" s="165">
        <v>63.99</v>
      </c>
      <c r="X69" s="6">
        <f>Table5[[#This Row],[Cost]]/Table5[[#This Row],[SizTB]]*Exchange_Rate</f>
        <v>63.99</v>
      </c>
      <c r="Y69" s="170">
        <f>Table5[[#This Row],[Cost]]+((CompareWarrYrs-Table5[[#This Row],[S]])*(Incremental_Warr_Yr*Table5[[#This Row],[Cost]]))*Exchange_Rate</f>
        <v>63.99</v>
      </c>
      <c r="Z69" s="6">
        <f>Table5[[#This Row],[$+Warr]]/Table5[[#This Row],[SizTB]]</f>
        <v>63.99</v>
      </c>
      <c r="AA69" s="6">
        <f>Table5[[#This Row],[$PerTB]]/CompareWarrYrs</f>
        <v>12.798</v>
      </c>
      <c r="AB69" s="183">
        <v>24</v>
      </c>
      <c r="AC69" s="184">
        <v>25</v>
      </c>
      <c r="AD69" s="44" t="s">
        <v>44</v>
      </c>
    </row>
    <row r="70" spans="1:30" x14ac:dyDescent="0.25">
      <c r="A70" s="1">
        <v>43298</v>
      </c>
      <c r="B70" t="s">
        <v>10</v>
      </c>
      <c r="C70" s="115" t="s">
        <v>43</v>
      </c>
      <c r="D70" s="31" t="s">
        <v>128</v>
      </c>
      <c r="E70" s="98">
        <v>3.5</v>
      </c>
      <c r="F70" s="85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28">
        <v>0.75</v>
      </c>
      <c r="U70" s="132">
        <f>(((Table5[[#This Row],[Watts Active]]*Power_On_Hours_Year/1000)*Active_Duty_Cycle)+((Table5[[#This Row],[Watts Idle]]*Power_On_Hours_Year/1000)*(100%-Active_Duty_Cycle)))*CostPerKWH</f>
        <v>4.4135601600000003</v>
      </c>
      <c r="V70" s="166">
        <f>Table5[Energy$year]/Table5[[#This Row],[SizTB]]</f>
        <v>2.2067800800000001</v>
      </c>
      <c r="W70" s="165">
        <v>69.989999999999995</v>
      </c>
      <c r="X70" s="6">
        <f>Table5[[#This Row],[Cost]]/Table5[[#This Row],[SizTB]]*Exchange_Rate</f>
        <v>34.994999999999997</v>
      </c>
      <c r="Y70" s="170">
        <f>Table5[[#This Row],[Cost]]+((CompareWarrYrs-Table5[[#This Row],[S]])*(Incremental_Warr_Yr*Table5[[#This Row],[Cost]]))*Exchange_Rate</f>
        <v>69.989999999999995</v>
      </c>
      <c r="Z70" s="6">
        <f>Table5[[#This Row],[$+Warr]]/Table5[[#This Row],[SizTB]]</f>
        <v>34.994999999999997</v>
      </c>
      <c r="AA70" s="6">
        <f>Table5[[#This Row],[$PerTB]]/CompareWarrYrs</f>
        <v>6.9989999999999997</v>
      </c>
      <c r="AB70" s="183">
        <v>26</v>
      </c>
      <c r="AC70" s="184">
        <v>27</v>
      </c>
      <c r="AD70" s="44" t="s">
        <v>44</v>
      </c>
    </row>
    <row r="71" spans="1:30" x14ac:dyDescent="0.25">
      <c r="A71" s="1">
        <v>43250</v>
      </c>
      <c r="B71" t="s">
        <v>10</v>
      </c>
      <c r="C71" s="115" t="s">
        <v>13</v>
      </c>
      <c r="D71" s="31" t="s">
        <v>49</v>
      </c>
      <c r="E71" s="98">
        <v>3.5</v>
      </c>
      <c r="F71" s="85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7">10^14</f>
        <v>100000000000000</v>
      </c>
      <c r="Q71" s="57">
        <f>12*1.2</f>
        <v>14.399999999999999</v>
      </c>
      <c r="R71" s="5">
        <v>3.76</v>
      </c>
      <c r="S71" s="5">
        <v>2.5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3.0154214399999999</v>
      </c>
      <c r="V71" s="166">
        <f>Table5[Energy$year]/Table5[[#This Row],[SizTB]]</f>
        <v>3.0154214399999999</v>
      </c>
      <c r="W71" s="165">
        <v>59.99</v>
      </c>
      <c r="X71" s="6">
        <f>Table5[[#This Row],[Cost]]/Table5[[#This Row],[SizTB]]*Exchange_Rate</f>
        <v>59.99</v>
      </c>
      <c r="Y71" s="170">
        <f>Table5[[#This Row],[Cost]]+((CompareWarrYrs-Table5[[#This Row],[S]])*(Incremental_Warr_Yr*Table5[[#This Row],[Cost]]))*Exchange_Rate</f>
        <v>73.18780000000001</v>
      </c>
      <c r="Z71" s="6">
        <f>Table5[[#This Row],[$+Warr]]/Table5[[#This Row],[SizTB]]</f>
        <v>73.18780000000001</v>
      </c>
      <c r="AA71" s="6">
        <f>Table5[[#This Row],[$PerTB]]/CompareWarrYrs</f>
        <v>14.637560000000002</v>
      </c>
      <c r="AB71" s="183">
        <v>20</v>
      </c>
      <c r="AC71" s="184">
        <v>22</v>
      </c>
      <c r="AD71" s="44"/>
    </row>
    <row r="72" spans="1:30" x14ac:dyDescent="0.25">
      <c r="A72" s="1">
        <v>43250</v>
      </c>
      <c r="B72" t="s">
        <v>10</v>
      </c>
      <c r="C72" s="115" t="s">
        <v>13</v>
      </c>
      <c r="D72" s="31" t="s">
        <v>49</v>
      </c>
      <c r="E72" s="98">
        <v>3.5</v>
      </c>
      <c r="F72" s="85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4.3</v>
      </c>
      <c r="S72" s="5">
        <v>3.56</v>
      </c>
      <c r="T72" s="128">
        <v>0.8</v>
      </c>
      <c r="U72" s="132">
        <f>(((Table5[[#This Row],[Watts Active]]*Power_On_Hours_Year/1000)*Active_Duty_Cycle)+((Table5[[#This Row],[Watts Idle]]*Power_On_Hours_Year/1000)*(100%-Active_Duty_Cycle)))*CostPerKWH</f>
        <v>4.0629297600000003</v>
      </c>
      <c r="V72" s="166">
        <f>Table5[Energy$year]/Table5[[#This Row],[SizTB]]</f>
        <v>2.0314648800000001</v>
      </c>
      <c r="W72" s="165">
        <v>77.55</v>
      </c>
      <c r="X72" s="6">
        <f>Table5[[#This Row],[Cost]]/Table5[[#This Row],[SizTB]]*Exchange_Rate</f>
        <v>38.774999999999999</v>
      </c>
      <c r="Y72" s="170">
        <f>Table5[[#This Row],[Cost]]+((CompareWarrYrs-Table5[[#This Row],[S]])*(Incremental_Warr_Yr*Table5[[#This Row],[Cost]]))*Exchange_Rate</f>
        <v>94.61099999999999</v>
      </c>
      <c r="Z72" s="6">
        <f>Table5[[#This Row],[$+Warr]]/Table5[[#This Row],[SizTB]]</f>
        <v>47.305499999999995</v>
      </c>
      <c r="AA72" s="6">
        <f>Table5[[#This Row],[$PerTB]]/CompareWarrYrs</f>
        <v>9.4610999999999983</v>
      </c>
      <c r="AB72" s="183">
        <v>20</v>
      </c>
      <c r="AC72" s="184">
        <v>22</v>
      </c>
      <c r="AD72" s="44"/>
    </row>
    <row r="73" spans="1:30" x14ac:dyDescent="0.25">
      <c r="A73" s="1">
        <v>43298</v>
      </c>
      <c r="B73" t="s">
        <v>10</v>
      </c>
      <c r="C73" s="115" t="s">
        <v>13</v>
      </c>
      <c r="D73" s="31" t="s">
        <v>49</v>
      </c>
      <c r="E73" s="98">
        <v>3.5</v>
      </c>
      <c r="F73" s="85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>12*2</f>
        <v>24</v>
      </c>
      <c r="R73" s="5">
        <v>4.8</v>
      </c>
      <c r="S73" s="5">
        <v>4.8</v>
      </c>
      <c r="T73" s="128">
        <v>0.6</v>
      </c>
      <c r="U73" s="132">
        <f>(((Table5[[#This Row],[Watts Active]]*Power_On_Hours_Year/1000)*Active_Duty_Cycle)+((Table5[[#This Row],[Watts Idle]]*Power_On_Hours_Year/1000)*(100%-Active_Duty_Cycle)))*CostPerKWH</f>
        <v>5.2594560000000001</v>
      </c>
      <c r="V73" s="166">
        <f>Table5[Energy$year]/Table5[[#This Row],[SizTB]]</f>
        <v>1.753152</v>
      </c>
      <c r="W73" s="165">
        <v>73.989999999999995</v>
      </c>
      <c r="X73" s="6">
        <f>Table5[[#This Row],[Cost]]/Table5[[#This Row],[SizTB]]*Exchange_Rate</f>
        <v>24.66333333333333</v>
      </c>
      <c r="Y73" s="170">
        <f>Table5[[#This Row],[Cost]]+((CompareWarrYrs-Table5[[#This Row],[S]])*(Incremental_Warr_Yr*Table5[[#This Row],[Cost]]))*Exchange_Rate</f>
        <v>90.267799999999994</v>
      </c>
      <c r="Z73" s="6">
        <f>Table5[[#This Row],[$+Warr]]/Table5[[#This Row],[SizTB]]</f>
        <v>30.089266666666663</v>
      </c>
      <c r="AA73" s="6">
        <f>Table5[[#This Row],[$PerTB]]/CompareWarrYrs</f>
        <v>6.0178533333333331</v>
      </c>
      <c r="AB73" s="183">
        <v>24</v>
      </c>
      <c r="AC73" s="184">
        <v>26</v>
      </c>
      <c r="AD73" s="44"/>
    </row>
    <row r="74" spans="1:30" x14ac:dyDescent="0.25">
      <c r="A74" s="1">
        <v>43298</v>
      </c>
      <c r="B74" t="s">
        <v>10</v>
      </c>
      <c r="C74" s="115" t="s">
        <v>13</v>
      </c>
      <c r="D74" s="31" t="s">
        <v>49</v>
      </c>
      <c r="E74" s="98">
        <v>3.5</v>
      </c>
      <c r="F74" s="85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7"/>
        <v>100000000000000</v>
      </c>
      <c r="Q74" s="57">
        <f t="shared" ref="Q74:Q76" si="8">12*1.8</f>
        <v>21.6</v>
      </c>
      <c r="R74" s="5">
        <v>4.8</v>
      </c>
      <c r="S74" s="5">
        <v>3.95</v>
      </c>
      <c r="T74" s="128">
        <v>0.5</v>
      </c>
      <c r="U74" s="132">
        <f>(((Table5[[#This Row],[Watts Active]]*Power_On_Hours_Year/1000)*Active_Duty_Cycle)+((Table5[[#This Row],[Watts Idle]]*Power_On_Hours_Year/1000)*(100%-Active_Duty_Cycle)))*CostPerKWH</f>
        <v>4.5143664000000001</v>
      </c>
      <c r="V74" s="166">
        <f>Table5[Energy$year]/Table5[[#This Row],[SizTB]]</f>
        <v>1.1285916</v>
      </c>
      <c r="W74" s="165">
        <v>118.59</v>
      </c>
      <c r="X74" s="6">
        <f>Table5[[#This Row],[Cost]]/Table5[[#This Row],[SizTB]]*Exchange_Rate</f>
        <v>29.647500000000001</v>
      </c>
      <c r="Y74" s="170">
        <f>Table5[[#This Row],[Cost]]+((CompareWarrYrs-Table5[[#This Row],[S]])*(Incremental_Warr_Yr*Table5[[#This Row],[Cost]]))*Exchange_Rate</f>
        <v>144.6798</v>
      </c>
      <c r="Z74" s="6">
        <f>Table5[[#This Row],[$+Warr]]/Table5[[#This Row],[SizTB]]</f>
        <v>36.16995</v>
      </c>
      <c r="AA74" s="6">
        <f>Table5[[#This Row],[$PerTB]]/CompareWarrYrs</f>
        <v>7.2339900000000004</v>
      </c>
      <c r="AB74" s="183">
        <v>24</v>
      </c>
      <c r="AC74" s="184">
        <v>26</v>
      </c>
      <c r="AD74" s="44"/>
    </row>
    <row r="75" spans="1:30" x14ac:dyDescent="0.25">
      <c r="A75" s="1">
        <v>43298</v>
      </c>
      <c r="B75" t="s">
        <v>10</v>
      </c>
      <c r="C75" s="115" t="s">
        <v>13</v>
      </c>
      <c r="D75" s="31" t="s">
        <v>49</v>
      </c>
      <c r="E75" s="98">
        <v>3.5</v>
      </c>
      <c r="F75" s="85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8.1</v>
      </c>
      <c r="S75" s="5">
        <v>7.2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8.0864136000000002</v>
      </c>
      <c r="V75" s="166">
        <f>Table5[Energy$year]/Table5[[#This Row],[SizTB]]</f>
        <v>1.3477356</v>
      </c>
      <c r="W75" s="165">
        <v>184.99</v>
      </c>
      <c r="X75" s="6">
        <f>Table5[[#This Row],[Cost]]/Table5[[#This Row],[SizTB]]*Exchange_Rate</f>
        <v>30.831666666666667</v>
      </c>
      <c r="Y75" s="170">
        <f>Table5[[#This Row],[Cost]]+((CompareWarrYrs-Table5[[#This Row],[S]])*(Incremental_Warr_Yr*Table5[[#This Row],[Cost]]))*Exchange_Rate</f>
        <v>225.68780000000001</v>
      </c>
      <c r="Z75" s="6">
        <f>Table5[[#This Row],[$+Warr]]/Table5[[#This Row],[SizTB]]</f>
        <v>37.614633333333337</v>
      </c>
      <c r="AA75" s="6">
        <f>Table5[[#This Row],[$PerTB]]/CompareWarrYrs</f>
        <v>7.5229266666666676</v>
      </c>
      <c r="AB75" s="183">
        <v>28</v>
      </c>
      <c r="AC75" s="184">
        <v>29</v>
      </c>
      <c r="AD75" s="44"/>
    </row>
    <row r="76" spans="1:30" x14ac:dyDescent="0.25">
      <c r="A76" s="1">
        <v>43298</v>
      </c>
      <c r="B76" t="s">
        <v>10</v>
      </c>
      <c r="C76" s="115" t="s">
        <v>13</v>
      </c>
      <c r="D76" s="31" t="s">
        <v>49</v>
      </c>
      <c r="E76" s="98">
        <v>3.5</v>
      </c>
      <c r="F76" s="85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8"/>
        <v>21.6</v>
      </c>
      <c r="R76" s="5">
        <v>8.8000000000000007</v>
      </c>
      <c r="S76" s="5">
        <v>7.6</v>
      </c>
      <c r="T76" s="128">
        <v>0.6</v>
      </c>
      <c r="U76" s="132">
        <f>(((Table5[[#This Row],[Watts Active]]*Power_On_Hours_Year/1000)*Active_Duty_Cycle)+((Table5[[#This Row],[Watts Idle]]*Power_On_Hours_Year/1000)*(100%-Active_Duty_Cycle)))*CostPerKWH</f>
        <v>8.5904448000000002</v>
      </c>
      <c r="V76" s="166">
        <f>Table5[Energy$year]/Table5[[#This Row],[SizTB]]</f>
        <v>1.0738056</v>
      </c>
      <c r="W76" s="165">
        <v>248.98</v>
      </c>
      <c r="X76" s="6">
        <f>Table5[[#This Row],[Cost]]/Table5[[#This Row],[SizTB]]*Exchange_Rate</f>
        <v>31.122499999999999</v>
      </c>
      <c r="Y76" s="170">
        <f>Table5[[#This Row],[Cost]]+((CompareWarrYrs-Table5[[#This Row],[S]])*(Incremental_Warr_Yr*Table5[[#This Row],[Cost]]))*Exchange_Rate</f>
        <v>303.75559999999996</v>
      </c>
      <c r="Z76" s="6">
        <f>Table5[[#This Row],[$+Warr]]/Table5[[#This Row],[SizTB]]</f>
        <v>37.969449999999995</v>
      </c>
      <c r="AA76" s="6">
        <f>Table5[[#This Row],[$PerTB]]/CompareWarrYrs</f>
        <v>7.5938899999999991</v>
      </c>
      <c r="AB76" s="183">
        <v>28</v>
      </c>
      <c r="AC76" s="184">
        <v>29</v>
      </c>
      <c r="AD76" s="44"/>
    </row>
    <row r="77" spans="1:30" x14ac:dyDescent="0.25">
      <c r="A77" s="1">
        <v>43259</v>
      </c>
      <c r="B77" t="s">
        <v>10</v>
      </c>
      <c r="C77" s="115" t="s">
        <v>13</v>
      </c>
      <c r="D77" s="31" t="s">
        <v>49</v>
      </c>
      <c r="E77" s="98">
        <v>3.5</v>
      </c>
      <c r="F77" s="85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6">
        <f>Table5[Energy$year]/Table5[[#This Row],[SizTB]]</f>
        <v>0.60922032000000004</v>
      </c>
      <c r="W77" s="165">
        <v>284.99</v>
      </c>
      <c r="X77" s="6">
        <f>Table5[[#This Row],[Cost]]/Table5[[#This Row],[SizTB]]*Exchange_Rate</f>
        <v>28.499000000000002</v>
      </c>
      <c r="Y77" s="170">
        <f>Table5[[#This Row],[Cost]]+((CompareWarrYrs-Table5[[#This Row],[S]])*(Incremental_Warr_Yr*Table5[[#This Row],[Cost]]))*Exchange_Rate</f>
        <v>347.68780000000004</v>
      </c>
      <c r="Z77" s="6">
        <f>Table5[[#This Row],[$+Warr]]/Table5[[#This Row],[SizTB]]</f>
        <v>34.768780000000007</v>
      </c>
      <c r="AA77" s="6">
        <f>Table5[[#This Row],[$PerTB]]/CompareWarrYrs</f>
        <v>6.9537560000000012</v>
      </c>
      <c r="AB77" s="183">
        <v>30</v>
      </c>
      <c r="AC77" s="184">
        <v>34</v>
      </c>
      <c r="AD77" s="44"/>
    </row>
    <row r="78" spans="1:30" x14ac:dyDescent="0.25">
      <c r="A78" s="1">
        <v>43284</v>
      </c>
      <c r="B78" t="s">
        <v>10</v>
      </c>
      <c r="C78" s="115" t="s">
        <v>13</v>
      </c>
      <c r="D78" s="127" t="s">
        <v>49</v>
      </c>
      <c r="E78" s="98">
        <v>3.5</v>
      </c>
      <c r="F78" s="85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6.0922032000000002</v>
      </c>
      <c r="V78" s="166">
        <f>Table5[Energy$year]/Table5[[#This Row],[SizTB]]</f>
        <v>0.50768360000000001</v>
      </c>
      <c r="W78" s="165">
        <v>389.99</v>
      </c>
      <c r="X78" s="6">
        <f>Table5[[#This Row],[Cost]]/Table5[[#This Row],[SizTB]]*Exchange_Rate</f>
        <v>32.499166666666667</v>
      </c>
      <c r="Y78" s="170">
        <f>Table5[[#This Row],[Cost]]+((CompareWarrYrs-Table5[[#This Row],[S]])*(Incremental_Warr_Yr*Table5[[#This Row],[Cost]]))*Exchange_Rate</f>
        <v>475.7878</v>
      </c>
      <c r="Z78" s="6">
        <f>Table5[[#This Row],[$+Warr]]/Table5[[#This Row],[SizTB]]</f>
        <v>39.648983333333334</v>
      </c>
      <c r="AA78" s="6">
        <f>Table5[[#This Row],[$PerTB]]/CompareWarrYrs</f>
        <v>7.9297966666666664</v>
      </c>
      <c r="AB78" s="183">
        <v>30</v>
      </c>
      <c r="AC78" s="184">
        <v>34</v>
      </c>
      <c r="AD78" s="44"/>
    </row>
    <row r="79" spans="1:30" x14ac:dyDescent="0.25">
      <c r="A79" s="1">
        <v>43284</v>
      </c>
      <c r="B79" t="s">
        <v>10</v>
      </c>
      <c r="C79" s="115" t="s">
        <v>17</v>
      </c>
      <c r="D79" s="31" t="s">
        <v>49</v>
      </c>
      <c r="E79" s="98">
        <v>3.5</v>
      </c>
      <c r="F79" s="85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28">
        <v>0.8</v>
      </c>
      <c r="U79" s="132">
        <f>(((Table5[[#This Row],[Watts Active]]*Power_On_Hours_Year/1000)*Active_Duty_Cycle)+((Table5[[#This Row],[Watts Idle]]*Power_On_Hours_Year/1000)*(100%-Active_Duty_Cycle)))*CostPerKWH</f>
        <v>5.4654513600000012</v>
      </c>
      <c r="V79" s="166">
        <f>Table5[Energy$year]/Table5[[#This Row],[SizTB]]</f>
        <v>2.7327256800000006</v>
      </c>
      <c r="W79" s="165">
        <v>129.99</v>
      </c>
      <c r="X79" s="6">
        <f>Table5[[#This Row],[Cost]]/Table5[[#This Row],[SizTB]]*Exchange_Rate</f>
        <v>64.995000000000005</v>
      </c>
      <c r="Y79" s="170">
        <f>Table5[[#This Row],[Cost]]+((CompareWarrYrs-Table5[[#This Row],[S]])*(Incremental_Warr_Yr*Table5[[#This Row],[Cost]]))*Exchange_Rate</f>
        <v>129.99</v>
      </c>
      <c r="Z79" s="6">
        <f>Table5[[#This Row],[$+Warr]]/Table5[[#This Row],[SizTB]]</f>
        <v>64.995000000000005</v>
      </c>
      <c r="AA79" s="6">
        <f>Table5[[#This Row],[$PerTB]]/CompareWarrYrs</f>
        <v>12.999000000000001</v>
      </c>
      <c r="AB79" s="183">
        <v>30</v>
      </c>
      <c r="AC79" s="184">
        <v>34</v>
      </c>
      <c r="AD79" s="44"/>
    </row>
    <row r="80" spans="1:30" x14ac:dyDescent="0.25">
      <c r="A80" s="1">
        <v>43284</v>
      </c>
      <c r="B80" t="s">
        <v>10</v>
      </c>
      <c r="C80" s="115" t="s">
        <v>17</v>
      </c>
      <c r="D80" s="31" t="s">
        <v>49</v>
      </c>
      <c r="E80" s="98">
        <v>3.5</v>
      </c>
      <c r="F80" s="85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6.6400632000000002</v>
      </c>
      <c r="V80" s="166">
        <f>Table5[Energy$year]/Table5[[#This Row],[SizTB]]</f>
        <v>1.6600158</v>
      </c>
      <c r="W80" s="165">
        <v>174.99</v>
      </c>
      <c r="X80" s="6">
        <f>Table5[[#This Row],[Cost]]/Table5[[#This Row],[SizTB]]*Exchange_Rate</f>
        <v>43.747500000000002</v>
      </c>
      <c r="Y80" s="170">
        <f>Table5[[#This Row],[Cost]]+((CompareWarrYrs-Table5[[#This Row],[S]])*(Incremental_Warr_Yr*Table5[[#This Row],[Cost]]))*Exchange_Rate</f>
        <v>174.99</v>
      </c>
      <c r="Z80" s="6">
        <f>Table5[[#This Row],[$+Warr]]/Table5[[#This Row],[SizTB]]</f>
        <v>43.747500000000002</v>
      </c>
      <c r="AA80" s="6">
        <f>Table5[[#This Row],[$PerTB]]/CompareWarrYrs</f>
        <v>8.7495000000000012</v>
      </c>
      <c r="AB80" s="183">
        <v>30</v>
      </c>
      <c r="AC80" s="184">
        <v>34</v>
      </c>
      <c r="AD80" s="44"/>
    </row>
    <row r="81" spans="1:30" x14ac:dyDescent="0.25">
      <c r="A81" s="1">
        <v>43298</v>
      </c>
      <c r="B81" t="s">
        <v>10</v>
      </c>
      <c r="C81" s="115" t="s">
        <v>17</v>
      </c>
      <c r="D81" s="31" t="s">
        <v>49</v>
      </c>
      <c r="E81" s="98">
        <v>3.5</v>
      </c>
      <c r="F81" s="85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28">
        <v>0.6</v>
      </c>
      <c r="U81" s="132">
        <f>(((Table5[[#This Row],[Watts Active]]*Power_On_Hours_Year/1000)*Active_Duty_Cycle)+((Table5[[#This Row],[Watts Idle]]*Power_On_Hours_Year/1000)*(100%-Active_Duty_Cycle)))*CostPerKWH</f>
        <v>8.3493864000000002</v>
      </c>
      <c r="V81" s="166">
        <f>Table5[Energy$year]/Table5[[#This Row],[SizTB]]</f>
        <v>1.3915644</v>
      </c>
      <c r="W81" s="165">
        <v>160.99</v>
      </c>
      <c r="X81" s="6">
        <f>Table5[[#This Row],[Cost]]/Table5[[#This Row],[SizTB]]*Exchange_Rate</f>
        <v>26.831666666666667</v>
      </c>
      <c r="Y81" s="170">
        <f>Table5[[#This Row],[Cost]]+((CompareWarrYrs-Table5[[#This Row],[S]])*(Incremental_Warr_Yr*Table5[[#This Row],[Cost]]))*Exchange_Rate</f>
        <v>160.99</v>
      </c>
      <c r="Z81" s="6">
        <f>Table5[[#This Row],[$+Warr]]/Table5[[#This Row],[SizTB]]</f>
        <v>26.831666666666667</v>
      </c>
      <c r="AA81" s="6">
        <f>Table5[[#This Row],[$PerTB]]/CompareWarrYrs</f>
        <v>5.3663333333333334</v>
      </c>
      <c r="AB81" s="183">
        <v>30</v>
      </c>
      <c r="AC81" s="184">
        <v>34</v>
      </c>
      <c r="AD81" s="44"/>
    </row>
    <row r="82" spans="1:30" x14ac:dyDescent="0.25">
      <c r="A82" s="1">
        <v>43284</v>
      </c>
      <c r="B82" t="s">
        <v>10</v>
      </c>
      <c r="C82" s="115" t="s">
        <v>17</v>
      </c>
      <c r="D82" s="31" t="s">
        <v>49</v>
      </c>
      <c r="E82" s="98">
        <v>3.5</v>
      </c>
      <c r="F82" s="85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5.478600000000001</v>
      </c>
      <c r="V82" s="166">
        <f>Table5[Energy$year]/Table5[[#This Row],[SizTB]]</f>
        <v>0.68482500000000013</v>
      </c>
      <c r="W82" s="165">
        <v>289.99</v>
      </c>
      <c r="X82" s="6">
        <f>Table5[[#This Row],[Cost]]/Table5[[#This Row],[SizTB]]*Exchange_Rate</f>
        <v>36.248750000000001</v>
      </c>
      <c r="Y82" s="170">
        <f>Table5[[#This Row],[Cost]]+((CompareWarrYrs-Table5[[#This Row],[S]])*(Incremental_Warr_Yr*Table5[[#This Row],[Cost]]))*Exchange_Rate</f>
        <v>289.99</v>
      </c>
      <c r="Z82" s="6">
        <f>Table5[[#This Row],[$+Warr]]/Table5[[#This Row],[SizTB]]</f>
        <v>36.248750000000001</v>
      </c>
      <c r="AA82" s="6">
        <f>Table5[[#This Row],[$PerTB]]/CompareWarrYrs</f>
        <v>7.2497500000000006</v>
      </c>
      <c r="AB82" s="183">
        <v>30</v>
      </c>
      <c r="AC82" s="184">
        <v>34</v>
      </c>
      <c r="AD82" s="44"/>
    </row>
    <row r="83" spans="1:30" x14ac:dyDescent="0.25">
      <c r="A83" s="1">
        <v>43284</v>
      </c>
      <c r="B83" t="s">
        <v>10</v>
      </c>
      <c r="C83" s="115" t="s">
        <v>17</v>
      </c>
      <c r="D83" s="31" t="s">
        <v>49</v>
      </c>
      <c r="E83" s="98">
        <v>3.5</v>
      </c>
      <c r="F83" s="85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6.0045456000000001</v>
      </c>
      <c r="V83" s="166">
        <f>Table5[Energy$year]/Table5[[#This Row],[SizTB]]</f>
        <v>0.60045455999999997</v>
      </c>
      <c r="W83" s="165">
        <v>353.11</v>
      </c>
      <c r="X83" s="6">
        <f>Table5[[#This Row],[Cost]]/Table5[[#This Row],[SizTB]]*Exchange_Rate</f>
        <v>35.311</v>
      </c>
      <c r="Y83" s="170">
        <f>Table5[[#This Row],[Cost]]+((CompareWarrYrs-Table5[[#This Row],[S]])*(Incremental_Warr_Yr*Table5[[#This Row],[Cost]]))*Exchange_Rate</f>
        <v>353.11</v>
      </c>
      <c r="Z83" s="6">
        <f>Table5[[#This Row],[$+Warr]]/Table5[[#This Row],[SizTB]]</f>
        <v>35.311</v>
      </c>
      <c r="AA83" s="6">
        <f>Table5[[#This Row],[$PerTB]]/CompareWarrYrs</f>
        <v>7.0621999999999998</v>
      </c>
      <c r="AB83" s="183">
        <v>30</v>
      </c>
      <c r="AC83" s="184">
        <v>34</v>
      </c>
      <c r="AD83" s="44"/>
    </row>
    <row r="84" spans="1:30" x14ac:dyDescent="0.25">
      <c r="A84" s="1">
        <v>43284</v>
      </c>
      <c r="B84" t="s">
        <v>10</v>
      </c>
      <c r="C84" s="115" t="s">
        <v>17</v>
      </c>
      <c r="D84" s="127" t="s">
        <v>49</v>
      </c>
      <c r="E84" s="98">
        <v>3.5</v>
      </c>
      <c r="F84" s="85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/>
      <c r="L84">
        <v>5</v>
      </c>
      <c r="M84" s="40"/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28">
        <v>0.8</v>
      </c>
      <c r="U84" s="132">
        <f>(((Table5[[#This Row],[Watts Active]]*Power_On_Hours_Year/1000)*Active_Duty_Cycle)+((Table5[[#This Row],[Watts Idle]]*Power_On_Hours_Year/1000)*(100%-Active_Duty_Cycle)))*CostPerKWH</f>
        <v>6.0922032000000002</v>
      </c>
      <c r="V84" s="166">
        <f>Table5[Energy$year]/Table5[[#This Row],[SizTB]]</f>
        <v>0.50768360000000001</v>
      </c>
      <c r="W84" s="165">
        <v>453.97</v>
      </c>
      <c r="X84" s="6">
        <f>Table5[[#This Row],[Cost]]/Table5[[#This Row],[SizTB]]*Exchange_Rate</f>
        <v>37.830833333333338</v>
      </c>
      <c r="Y84" s="170">
        <f>Table5[[#This Row],[Cost]]+((CompareWarrYrs-Table5[[#This Row],[S]])*(Incremental_Warr_Yr*Table5[[#This Row],[Cost]]))*Exchange_Rate</f>
        <v>453.97</v>
      </c>
      <c r="Z84" s="6">
        <f>Table5[[#This Row],[$+Warr]]/Table5[[#This Row],[SizTB]]</f>
        <v>37.830833333333338</v>
      </c>
      <c r="AA84" s="6">
        <f>Table5[[#This Row],[$PerTB]]/CompareWarrYrs</f>
        <v>7.5661666666666676</v>
      </c>
      <c r="AB84" s="183">
        <v>30</v>
      </c>
      <c r="AC84" s="184">
        <v>34</v>
      </c>
      <c r="AD84" s="44"/>
    </row>
    <row r="85" spans="1:30" ht="15.75" thickBot="1" x14ac:dyDescent="0.3">
      <c r="A85" s="69">
        <v>43166</v>
      </c>
      <c r="B85" s="70" t="s">
        <v>10</v>
      </c>
      <c r="C85" s="114" t="s">
        <v>14</v>
      </c>
      <c r="D85" s="71" t="s">
        <v>49</v>
      </c>
      <c r="E85" s="86">
        <v>3.5</v>
      </c>
      <c r="F85" s="86">
        <v>4</v>
      </c>
      <c r="G85" s="72">
        <v>5900</v>
      </c>
      <c r="H85" s="73">
        <v>5.0999999999999996</v>
      </c>
      <c r="I85" s="73">
        <v>16</v>
      </c>
      <c r="J85" s="74">
        <f>(Table5[[#This Row],[RPM]]/5400-1)</f>
        <v>9.259259259259256E-2</v>
      </c>
      <c r="K85" s="75">
        <v>140</v>
      </c>
      <c r="L85" s="70">
        <v>3</v>
      </c>
      <c r="M85" s="76">
        <v>300000</v>
      </c>
      <c r="N85" s="70">
        <v>180</v>
      </c>
      <c r="O85" s="76">
        <v>800000</v>
      </c>
      <c r="P85" s="161">
        <f t="shared" ref="P85:P88" si="9">10^14</f>
        <v>100000000000000</v>
      </c>
      <c r="Q85" s="78">
        <v>24</v>
      </c>
      <c r="R85" s="73">
        <v>6.49</v>
      </c>
      <c r="S85" s="73">
        <v>4.59</v>
      </c>
      <c r="T85" s="129">
        <v>0.77</v>
      </c>
      <c r="U85" s="134">
        <f>(((Table5[[#This Row],[Watts Active]]*Power_On_Hours_Year/1000)*Active_Duty_Cycle)+((Table5[[#This Row],[Watts Idle]]*Power_On_Hours_Year/1000)*(100%-Active_Duty_Cycle)))*CostPerKWH</f>
        <v>5.4457284000000001</v>
      </c>
      <c r="V85" s="166">
        <f>Table5[Energy$year]/Table5[[#This Row],[SizTB]]</f>
        <v>1.3614321</v>
      </c>
      <c r="W85" s="196">
        <v>176.12</v>
      </c>
      <c r="X85" s="79">
        <f>Table5[[#This Row],[Cost]]/Table5[[#This Row],[SizTB]]*Exchange_Rate</f>
        <v>44.03</v>
      </c>
      <c r="Y85" s="79">
        <f>Table5[[#This Row],[Cost]]+((CompareWarrYrs-Table5[[#This Row],[S]])*(Incremental_Warr_Yr*Table5[[#This Row],[Cost]]))*Exchange_Rate</f>
        <v>214.8664</v>
      </c>
      <c r="Z85" s="79">
        <f>Table5[[#This Row],[$+Warr]]/Table5[[#This Row],[SizTB]]</f>
        <v>53.7166</v>
      </c>
      <c r="AA85" s="79">
        <f>Table5[[#This Row],[$PerTB]]/CompareWarrYrs</f>
        <v>10.743320000000001</v>
      </c>
      <c r="AB85" s="185"/>
      <c r="AC85" s="186"/>
      <c r="AD85" s="80"/>
    </row>
    <row r="86" spans="1:30" ht="15.75" thickTop="1" x14ac:dyDescent="0.25">
      <c r="A86" s="1">
        <v>43259</v>
      </c>
      <c r="B86" t="s">
        <v>41</v>
      </c>
      <c r="C86" s="115" t="s">
        <v>142</v>
      </c>
      <c r="D86" s="127" t="s">
        <v>128</v>
      </c>
      <c r="E86" s="98">
        <v>3.5</v>
      </c>
      <c r="F86" s="85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3.7</v>
      </c>
      <c r="T86" s="128"/>
      <c r="U86" s="132">
        <f>(((Table5[[#This Row],[Watts Active]]*Power_On_Hours_Year/1000)*Active_Duty_Cycle)+((Table5[[#This Row],[Watts Idle]]*Power_On_Hours_Year/1000)*(100%-Active_Duty_Cycle)))*CostPerKWH</f>
        <v>4.6458528000000001</v>
      </c>
      <c r="V86" s="166">
        <f>Table5[Energy$year]/Table5[[#This Row],[SizTB]]</f>
        <v>4.6458528000000001</v>
      </c>
      <c r="W86" s="165">
        <v>39.99</v>
      </c>
      <c r="X86" s="6">
        <f>Table5[[#This Row],[Cost]]/Table5[[#This Row],[SizTB]]*Exchange_Rate</f>
        <v>39.99</v>
      </c>
      <c r="Y86" s="170">
        <f>Table5[[#This Row],[Cost]]+((CompareWarrYrs-Table5[[#This Row],[S]])*(Incremental_Warr_Yr*Table5[[#This Row],[Cost]]))*Exchange_Rate</f>
        <v>53.186700000000002</v>
      </c>
      <c r="Z86" s="6">
        <f>Table5[[#This Row],[$+Warr]]/Table5[[#This Row],[SizTB]]</f>
        <v>53.186700000000002</v>
      </c>
      <c r="AA86" s="6">
        <f>Table5[[#This Row],[$PerTB]]/CompareWarrYrs</f>
        <v>10.63734</v>
      </c>
      <c r="AB86" s="183"/>
      <c r="AC86" s="184"/>
      <c r="AD86" s="177"/>
    </row>
    <row r="87" spans="1:30" x14ac:dyDescent="0.25">
      <c r="A87" s="1">
        <v>43126</v>
      </c>
      <c r="B87" t="s">
        <v>41</v>
      </c>
      <c r="C87" s="115" t="s">
        <v>142</v>
      </c>
      <c r="D87" s="127" t="s">
        <v>128</v>
      </c>
      <c r="E87" s="98">
        <v>3.5</v>
      </c>
      <c r="F87" s="85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6">
        <f>Table5[Energy$year]/Table5[[#This Row],[SizTB]]</f>
        <v>2.9803584000000005</v>
      </c>
      <c r="W87" s="165">
        <v>54.99</v>
      </c>
      <c r="X87" s="6">
        <f>Table5[[#This Row],[Cost]]/Table5[[#This Row],[SizTB]]*Exchange_Rate</f>
        <v>27.495000000000001</v>
      </c>
      <c r="Y87" s="170">
        <f>Table5[[#This Row],[Cost]]+((CompareWarrYrs-Table5[[#This Row],[S]])*(Incremental_Warr_Yr*Table5[[#This Row],[Cost]]))*Exchange_Rate</f>
        <v>73.136700000000005</v>
      </c>
      <c r="Z87" s="6">
        <f>Table5[[#This Row],[$+Warr]]/Table5[[#This Row],[SizTB]]</f>
        <v>36.568350000000002</v>
      </c>
      <c r="AA87" s="6">
        <f>Table5[[#This Row],[$PerTB]]/CompareWarrYrs</f>
        <v>7.3136700000000001</v>
      </c>
      <c r="AB87" s="183"/>
      <c r="AC87" s="184"/>
      <c r="AD87" s="178"/>
    </row>
    <row r="88" spans="1:30" x14ac:dyDescent="0.25">
      <c r="A88" s="1">
        <v>43080</v>
      </c>
      <c r="B88" t="s">
        <v>41</v>
      </c>
      <c r="C88" s="115" t="s">
        <v>142</v>
      </c>
      <c r="D88" s="127" t="s">
        <v>128</v>
      </c>
      <c r="E88" s="98">
        <v>3.5</v>
      </c>
      <c r="F88" s="85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9"/>
        <v>100000000000000</v>
      </c>
      <c r="Q88" s="57"/>
      <c r="R88" s="5">
        <v>6.4</v>
      </c>
      <c r="S88" s="5">
        <v>5.2</v>
      </c>
      <c r="T88" s="128"/>
      <c r="U88" s="132">
        <f>(((Table5[[#This Row],[Watts Active]]*Power_On_Hours_Year/1000)*Active_Duty_Cycle)+((Table5[[#This Row],[Watts Idle]]*Power_On_Hours_Year/1000)*(100%-Active_Duty_Cycle)))*CostPerKWH</f>
        <v>5.960716800000001</v>
      </c>
      <c r="V88" s="166">
        <f>Table5[Energy$year]/Table5[[#This Row],[SizTB]]</f>
        <v>1.9869056000000003</v>
      </c>
      <c r="W88" s="165">
        <v>96.67</v>
      </c>
      <c r="X88" s="6">
        <f>Table5[[#This Row],[Cost]]/Table5[[#This Row],[SizTB]]*Exchange_Rate</f>
        <v>32.223333333333336</v>
      </c>
      <c r="Y88" s="170">
        <f>Table5[[#This Row],[Cost]]+((CompareWarrYrs-Table5[[#This Row],[S]])*(Incremental_Warr_Yr*Table5[[#This Row],[Cost]]))*Exchange_Rate</f>
        <v>128.5711</v>
      </c>
      <c r="Z88" s="6">
        <f>Table5[[#This Row],[$+Warr]]/Table5[[#This Row],[SizTB]]</f>
        <v>42.857033333333334</v>
      </c>
      <c r="AA88" s="6">
        <f>Table5[[#This Row],[$PerTB]]/CompareWarrYrs</f>
        <v>8.5714066666666664</v>
      </c>
      <c r="AB88" s="183"/>
      <c r="AC88" s="184"/>
      <c r="AD88" s="178"/>
    </row>
    <row r="89" spans="1:30" x14ac:dyDescent="0.25">
      <c r="A89" s="124">
        <v>43044</v>
      </c>
      <c r="B89" t="s">
        <v>41</v>
      </c>
      <c r="C89" s="125" t="s">
        <v>114</v>
      </c>
      <c r="D89" s="99" t="s">
        <v>49</v>
      </c>
      <c r="E89" s="119">
        <v>3.5</v>
      </c>
      <c r="F89" s="119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ref="P89:P90" si="10">10^16</f>
        <v>1E+16</v>
      </c>
      <c r="Q89" s="57"/>
      <c r="R89" s="5">
        <v>8.3000000000000007</v>
      </c>
      <c r="S89" s="5">
        <v>5.6</v>
      </c>
      <c r="T89" s="128"/>
      <c r="U89" s="132">
        <f>(((Table5[[#This Row],[Watts Active]]*Power_On_Hours_Year/1000)*Active_Duty_Cycle)+((Table5[[#This Row],[Watts Idle]]*Power_On_Hours_Year/1000)*(100%-Active_Duty_Cycle)))*CostPerKWH</f>
        <v>6.7277208000000002</v>
      </c>
      <c r="V89" s="166">
        <f>Table5[Energy$year]/Table5[[#This Row],[SizTB]]</f>
        <v>1.1212868</v>
      </c>
      <c r="W89" s="165">
        <v>204</v>
      </c>
      <c r="X89" s="6">
        <f>Table5[[#This Row],[Cost]]/Table5[[#This Row],[SizTB]]*Exchange_Rate</f>
        <v>34</v>
      </c>
      <c r="Y89" s="170">
        <f>Table5[[#This Row],[Cost]]+((CompareWarrYrs-Table5[[#This Row],[S]])*(Incremental_Warr_Yr*Table5[[#This Row],[Cost]]))*Exchange_Rate</f>
        <v>204</v>
      </c>
      <c r="Z89" s="6">
        <f>Table5[[#This Row],[$+Warr]]/Table5[[#This Row],[SizTB]]</f>
        <v>34</v>
      </c>
      <c r="AA89" s="6">
        <f>Table5[[#This Row],[$PerTB]]/CompareWarrYrs</f>
        <v>6.8</v>
      </c>
      <c r="AB89" s="183">
        <v>34</v>
      </c>
      <c r="AC89" s="184"/>
      <c r="AD89" s="178" t="s">
        <v>143</v>
      </c>
    </row>
    <row r="90" spans="1:30" x14ac:dyDescent="0.25">
      <c r="A90" s="124">
        <v>43080</v>
      </c>
      <c r="B90" t="s">
        <v>41</v>
      </c>
      <c r="C90" s="125" t="s">
        <v>114</v>
      </c>
      <c r="D90" s="99" t="s">
        <v>49</v>
      </c>
      <c r="E90" s="119">
        <v>3.5</v>
      </c>
      <c r="F90" s="119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26">
        <v>2500000</v>
      </c>
      <c r="P90" s="39">
        <f t="shared" si="10"/>
        <v>1E+16</v>
      </c>
      <c r="Q90" s="57"/>
      <c r="R90" s="5">
        <v>9.1</v>
      </c>
      <c r="S90" s="5">
        <v>6.4</v>
      </c>
      <c r="T90" s="128"/>
      <c r="U90" s="132">
        <f>(((Table5[[#This Row],[Watts Active]]*Power_On_Hours_Year/1000)*Active_Duty_Cycle)+((Table5[[#This Row],[Watts Idle]]*Power_On_Hours_Year/1000)*(100%-Active_Duty_Cycle)))*CostPerKWH</f>
        <v>7.6042968000000002</v>
      </c>
      <c r="V90" s="166">
        <f>Table5[Energy$year]/Table5[[#This Row],[SizTB]]</f>
        <v>0.95053710000000002</v>
      </c>
      <c r="W90" s="165">
        <v>259.99</v>
      </c>
      <c r="X90" s="6">
        <f>Table5[[#This Row],[Cost]]/Table5[[#This Row],[SizTB]]*Exchange_Rate</f>
        <v>32.498750000000001</v>
      </c>
      <c r="Y90" s="170">
        <f>Table5[[#This Row],[Cost]]+((CompareWarrYrs-Table5[[#This Row],[S]])*(Incremental_Warr_Yr*Table5[[#This Row],[Cost]]))*Exchange_Rate</f>
        <v>259.99</v>
      </c>
      <c r="Z90" s="6">
        <f>Table5[[#This Row],[$+Warr]]/Table5[[#This Row],[SizTB]]</f>
        <v>32.498750000000001</v>
      </c>
      <c r="AA90" s="6">
        <f>Table5[[#This Row],[$PerTB]]/CompareWarrYrs</f>
        <v>6.4997500000000006</v>
      </c>
      <c r="AB90" s="183">
        <v>34</v>
      </c>
      <c r="AC90" s="184"/>
      <c r="AD90" s="178" t="s">
        <v>143</v>
      </c>
    </row>
    <row r="91" spans="1:30" x14ac:dyDescent="0.25">
      <c r="A91" s="124">
        <v>43044</v>
      </c>
      <c r="B91" t="s">
        <v>41</v>
      </c>
      <c r="C91" s="125" t="s">
        <v>114</v>
      </c>
      <c r="D91" s="99" t="s">
        <v>49</v>
      </c>
      <c r="E91" s="119">
        <v>3.5</v>
      </c>
      <c r="F91" s="119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26">
        <v>2500000</v>
      </c>
      <c r="P91" s="39">
        <f>10^16</f>
        <v>1E+16</v>
      </c>
      <c r="Q91" s="57"/>
      <c r="R91" s="5">
        <v>10</v>
      </c>
      <c r="S91" s="5">
        <v>7.3</v>
      </c>
      <c r="T91" s="128"/>
      <c r="U91" s="132">
        <f>(((Table5[[#This Row],[Watts Active]]*Power_On_Hours_Year/1000)*Active_Duty_Cycle)+((Table5[[#This Row],[Watts Idle]]*Power_On_Hours_Year/1000)*(100%-Active_Duty_Cycle)))*CostPerKWH</f>
        <v>8.5904448000000002</v>
      </c>
      <c r="V91" s="166">
        <f>Table5[Energy$year]/Table5[[#This Row],[SizTB]]</f>
        <v>0.85904448</v>
      </c>
      <c r="W91" s="164"/>
      <c r="X91" s="6">
        <f>Table5[[#This Row],[Cost]]/Table5[[#This Row],[SizTB]]*Exchange_Rate</f>
        <v>0</v>
      </c>
      <c r="Y91" s="170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3">
        <v>34</v>
      </c>
      <c r="AC91" s="184"/>
      <c r="AD91" s="178" t="s">
        <v>143</v>
      </c>
    </row>
    <row r="92" spans="1:30" x14ac:dyDescent="0.25">
      <c r="A92" s="124">
        <v>43080</v>
      </c>
      <c r="B92" t="s">
        <v>41</v>
      </c>
      <c r="C92" s="125" t="s">
        <v>114</v>
      </c>
      <c r="D92" s="99" t="s">
        <v>49</v>
      </c>
      <c r="E92" s="119">
        <v>3.5</v>
      </c>
      <c r="F92" s="119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ref="P92:P93" si="11">10^16</f>
        <v>1E+16</v>
      </c>
      <c r="Q92" s="57"/>
      <c r="R92" s="5">
        <v>7.5</v>
      </c>
      <c r="S92" s="5">
        <v>3.93</v>
      </c>
      <c r="T92" s="128"/>
      <c r="U92" s="132">
        <f>(((Table5[[#This Row],[Watts Active]]*Power_On_Hours_Year/1000)*Active_Duty_Cycle)+((Table5[[#This Row],[Watts Idle]]*Power_On_Hours_Year/1000)*(100%-Active_Duty_Cycle)))*CostPerKWH</f>
        <v>5.0885236799999998</v>
      </c>
      <c r="V92" s="166">
        <f>Table5[Energy$year]/Table5[[#This Row],[SizTB]]</f>
        <v>0.42404364</v>
      </c>
      <c r="W92" s="164"/>
      <c r="X92" s="6">
        <f>Table5[[#This Row],[Cost]]/Table5[[#This Row],[SizTB]]*Exchange_Rate</f>
        <v>0</v>
      </c>
      <c r="Y92" s="170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3">
        <v>20</v>
      </c>
      <c r="AC92" s="184"/>
      <c r="AD92" s="179" t="s">
        <v>144</v>
      </c>
    </row>
    <row r="93" spans="1:30" x14ac:dyDescent="0.25">
      <c r="A93" s="124">
        <v>43080</v>
      </c>
      <c r="B93" t="s">
        <v>41</v>
      </c>
      <c r="C93" s="125" t="s">
        <v>114</v>
      </c>
      <c r="D93" s="99" t="s">
        <v>49</v>
      </c>
      <c r="E93" s="119">
        <v>3.5</v>
      </c>
      <c r="F93" s="119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26">
        <v>2500000</v>
      </c>
      <c r="P93" s="39">
        <f t="shared" si="11"/>
        <v>1E+16</v>
      </c>
      <c r="Q93" s="57"/>
      <c r="R93" s="5">
        <v>7.8</v>
      </c>
      <c r="S93" s="5">
        <v>4.22</v>
      </c>
      <c r="T93" s="128"/>
      <c r="U93" s="132">
        <f>(((Table5[[#This Row],[Watts Active]]*Power_On_Hours_Year/1000)*Active_Duty_Cycle)+((Table5[[#This Row],[Watts Idle]]*Power_On_Hours_Year/1000)*(100%-Active_Duty_Cycle)))*CostPerKWH</f>
        <v>5.4084739200000005</v>
      </c>
      <c r="V93" s="166">
        <f>Table5[Energy$year]/Table5[[#This Row],[SizTB]]</f>
        <v>0.38631956571428577</v>
      </c>
      <c r="W93" s="164"/>
      <c r="X93" s="6">
        <f>Table5[[#This Row],[Cost]]/Table5[[#This Row],[SizTB]]*Exchange_Rate</f>
        <v>0</v>
      </c>
      <c r="Y93" s="170">
        <f>Table5[[#This Row],[Cost]]+((CompareWarrYrs-Table5[[#This Row],[S]])*(Incremental_Warr_Yr*Table5[[#This Row],[Cost]]))*Exchange_Rate</f>
        <v>0</v>
      </c>
      <c r="Z93" s="6">
        <f>Table5[[#This Row],[$+Warr]]/Table5[[#This Row],[SizTB]]</f>
        <v>0</v>
      </c>
      <c r="AA93" s="6">
        <f>Table5[[#This Row],[$PerTB]]/CompareWarrYrs</f>
        <v>0</v>
      </c>
      <c r="AB93" s="183">
        <v>20</v>
      </c>
      <c r="AC93" s="184"/>
      <c r="AD93" s="179" t="s">
        <v>144</v>
      </c>
    </row>
    <row r="94" spans="1:30" x14ac:dyDescent="0.25">
      <c r="A94" s="124">
        <v>43284</v>
      </c>
      <c r="B94" t="s">
        <v>41</v>
      </c>
      <c r="C94" s="125" t="s">
        <v>113</v>
      </c>
      <c r="D94" s="99" t="s">
        <v>49</v>
      </c>
      <c r="E94" s="119">
        <v>2.5</v>
      </c>
      <c r="F94" s="119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7</v>
      </c>
      <c r="S94" s="5">
        <v>3.5</v>
      </c>
      <c r="T94" s="128"/>
      <c r="U94" s="132">
        <f>(((Table5[[#This Row],[Watts Active]]*Power_On_Hours_Year/1000)*Active_Duty_Cycle)+((Table5[[#This Row],[Watts Idle]]*Power_On_Hours_Year/1000)*(100%-Active_Duty_Cycle)))*CostPerKWH</f>
        <v>4.6020240000000001</v>
      </c>
      <c r="V94" s="166">
        <f>Table5[Energy$year]/Table5[[#This Row],[SizTB]]</f>
        <v>3.8350200000000001</v>
      </c>
      <c r="W94" s="165">
        <v>289.99</v>
      </c>
      <c r="X94" s="6">
        <f>Table5[[#This Row],[Cost]]/Table5[[#This Row],[SizTB]]*Exchange_Rate</f>
        <v>241.65833333333336</v>
      </c>
      <c r="Y94" s="170">
        <f>Table5[[#This Row],[Cost]]+((CompareWarrYrs-Table5[[#This Row],[S]])*(Incremental_Warr_Yr*Table5[[#This Row],[Cost]]))*Exchange_Rate</f>
        <v>289.99</v>
      </c>
      <c r="Z94" s="6">
        <f>Table5[[#This Row],[$+Warr]]/Table5[[#This Row],[SizTB]]</f>
        <v>241.65833333333336</v>
      </c>
      <c r="AA94" s="6">
        <f>Table5[[#This Row],[$PerTB]]/CompareWarrYrs</f>
        <v>48.331666666666671</v>
      </c>
      <c r="AB94" s="183"/>
      <c r="AC94" s="184"/>
      <c r="AD94" s="178" t="s">
        <v>143</v>
      </c>
    </row>
    <row r="95" spans="1:30" x14ac:dyDescent="0.25">
      <c r="A95" s="124">
        <v>43284</v>
      </c>
      <c r="B95" t="s">
        <v>41</v>
      </c>
      <c r="C95" s="125" t="s">
        <v>113</v>
      </c>
      <c r="D95" s="99" t="s">
        <v>49</v>
      </c>
      <c r="E95" s="119">
        <v>2.5</v>
      </c>
      <c r="F95" s="119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5.8073160000000001</v>
      </c>
      <c r="V95" s="166">
        <f>Table5[Energy$year]/Table5[[#This Row],[SizTB]]</f>
        <v>3.2262866666666667</v>
      </c>
      <c r="W95" s="165">
        <v>399.99</v>
      </c>
      <c r="X95" s="6">
        <f>Table5[[#This Row],[Cost]]/Table5[[#This Row],[SizTB]]*Exchange_Rate</f>
        <v>222.21666666666667</v>
      </c>
      <c r="Y95" s="170">
        <f>Table5[[#This Row],[Cost]]+((CompareWarrYrs-Table5[[#This Row],[S]])*(Incremental_Warr_Yr*Table5[[#This Row],[Cost]]))*Exchange_Rate</f>
        <v>399.99</v>
      </c>
      <c r="Z95" s="6">
        <f>Table5[[#This Row],[$+Warr]]/Table5[[#This Row],[SizTB]]</f>
        <v>222.21666666666667</v>
      </c>
      <c r="AA95" s="6">
        <f>Table5[[#This Row],[$PerTB]]/CompareWarrYrs</f>
        <v>44.443333333333335</v>
      </c>
      <c r="AB95" s="183"/>
      <c r="AC95" s="184"/>
      <c r="AD95" s="178" t="s">
        <v>143</v>
      </c>
    </row>
    <row r="96" spans="1:30" x14ac:dyDescent="0.25">
      <c r="A96" s="124">
        <v>43088</v>
      </c>
      <c r="B96" t="s">
        <v>41</v>
      </c>
      <c r="C96" s="125" t="s">
        <v>113</v>
      </c>
      <c r="D96" s="99" t="s">
        <v>49</v>
      </c>
      <c r="E96" s="119">
        <v>2.5</v>
      </c>
      <c r="F96" s="119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6.3770903999999993</v>
      </c>
      <c r="V96" s="166">
        <f>Table5[Energy$year]/Table5[[#This Row],[SizTB]]</f>
        <v>2.6571209999999996</v>
      </c>
      <c r="W96" s="139"/>
      <c r="X96" s="180">
        <f>Table5[[#This Row],[Cost]]/Table5[[#This Row],[SizTB]]*Exchange_Rate</f>
        <v>0</v>
      </c>
      <c r="Y96" s="170">
        <f>Table5[[#This Row],[Cost]]+((CompareWarrYrs-Table5[[#This Row],[S]])*(Incremental_Warr_Yr*Table5[[#This Row],[Cost]]))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3"/>
      <c r="AC96" s="184"/>
      <c r="AD96" s="178" t="s">
        <v>143</v>
      </c>
    </row>
    <row r="97" spans="1:30" x14ac:dyDescent="0.25">
      <c r="A97" s="124">
        <v>43284</v>
      </c>
      <c r="B97" t="s">
        <v>41</v>
      </c>
      <c r="C97" s="125" t="s">
        <v>113</v>
      </c>
      <c r="D97" s="99" t="s">
        <v>49</v>
      </c>
      <c r="E97" s="119">
        <v>2.5</v>
      </c>
      <c r="F97" s="119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6">
        <f>Table5[Energy$year]/Table5[[#This Row],[SizTB]]</f>
        <v>11.468536</v>
      </c>
      <c r="W97" s="165">
        <v>299.99</v>
      </c>
      <c r="X97" s="6">
        <f>Table5[[#This Row],[Cost]]/Table5[[#This Row],[SizTB]]*Exchange_Rate</f>
        <v>499.98333333333335</v>
      </c>
      <c r="Y97" s="170">
        <f>Table5[[#This Row],[Cost]]+((CompareWarrYrs-Table5[[#This Row],[S]])*(Incremental_Warr_Yr*Table5[[#This Row],[Cost]]))*Exchange_Rate</f>
        <v>299.99</v>
      </c>
      <c r="Z97" s="6">
        <f>Table5[[#This Row],[$+Warr]]/Table5[[#This Row],[SizTB]]</f>
        <v>499.98333333333335</v>
      </c>
      <c r="AA97" s="6">
        <f>Table5[[#This Row],[$PerTB]]/CompareWarrYrs</f>
        <v>99.99666666666667</v>
      </c>
      <c r="AB97" s="183"/>
      <c r="AC97" s="184"/>
      <c r="AD97" s="178" t="s">
        <v>143</v>
      </c>
    </row>
    <row r="98" spans="1:30" x14ac:dyDescent="0.25">
      <c r="A98" s="124">
        <v>43114</v>
      </c>
      <c r="B98" t="s">
        <v>41</v>
      </c>
      <c r="C98" s="125" t="s">
        <v>113</v>
      </c>
      <c r="D98" s="99" t="s">
        <v>49</v>
      </c>
      <c r="E98" s="119">
        <v>2.5</v>
      </c>
      <c r="F98" s="119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26">
        <v>600000</v>
      </c>
      <c r="N98" s="7"/>
      <c r="O98" s="126">
        <v>2000000</v>
      </c>
      <c r="P98" s="39">
        <f>10^17</f>
        <v>1E+17</v>
      </c>
      <c r="Q98" s="57"/>
      <c r="R98" s="5">
        <v>9</v>
      </c>
      <c r="S98" s="5">
        <v>5.6</v>
      </c>
      <c r="T98" s="128"/>
      <c r="U98" s="132">
        <f>(((Table5[[#This Row],[Watts Active]]*Power_On_Hours_Year/1000)*Active_Duty_Cycle)+((Table5[[#This Row],[Watts Idle]]*Power_On_Hours_Year/1000)*(100%-Active_Duty_Cycle)))*CostPerKWH</f>
        <v>6.8811216000000002</v>
      </c>
      <c r="V98" s="166">
        <f>Table5[Energy$year]/Table5[[#This Row],[SizTB]]</f>
        <v>7.6456906666666669</v>
      </c>
      <c r="W98" s="165">
        <v>150</v>
      </c>
      <c r="X98" s="6">
        <f>Table5[[#This Row],[Cost]]/Table5[[#This Row],[SizTB]]*Exchange_Rate</f>
        <v>166.66666666666666</v>
      </c>
      <c r="Y98" s="170">
        <f>Table5[[#This Row],[Cost]]+((CompareWarrYrs-Table5[[#This Row],[S]])*(Incremental_Warr_Yr*Table5[[#This Row],[Cost]]))*Exchange_Rate</f>
        <v>150</v>
      </c>
      <c r="Z98" s="6">
        <f>Table5[[#This Row],[$+Warr]]/Table5[[#This Row],[SizTB]]</f>
        <v>166.66666666666666</v>
      </c>
      <c r="AA98" s="6">
        <f>Table5[[#This Row],[$PerTB]]/CompareWarrYrs</f>
        <v>33.333333333333329</v>
      </c>
      <c r="AB98" s="183"/>
      <c r="AC98" s="184"/>
      <c r="AD98" s="178" t="s">
        <v>143</v>
      </c>
    </row>
    <row r="99" spans="1:30" x14ac:dyDescent="0.25">
      <c r="A99" s="124">
        <v>43284</v>
      </c>
      <c r="B99" t="s">
        <v>41</v>
      </c>
      <c r="C99" t="s">
        <v>156</v>
      </c>
      <c r="D99" s="99" t="s">
        <v>127</v>
      </c>
      <c r="E99" s="119">
        <v>2.5</v>
      </c>
      <c r="F99" s="119">
        <v>3</v>
      </c>
      <c r="G99" s="46">
        <v>5400</v>
      </c>
      <c r="H99" s="5"/>
      <c r="I99" s="5"/>
      <c r="J99" s="65">
        <f>(Table5[[#This Row],[RPM]]/5400-1)</f>
        <v>0</v>
      </c>
      <c r="K99" s="49"/>
      <c r="L99" s="7"/>
      <c r="M99" s="126"/>
      <c r="N99" s="7"/>
      <c r="O99" s="126"/>
      <c r="P99" s="39"/>
      <c r="Q99" s="57"/>
      <c r="R99" s="5"/>
      <c r="S99" s="5"/>
      <c r="T99" s="128"/>
      <c r="U99" s="132"/>
      <c r="V99" s="204"/>
      <c r="W99" s="140">
        <v>128.69</v>
      </c>
      <c r="X99" s="180">
        <f>Table5[[#This Row],[Cost]]/Table5[[#This Row],[SizTB]]*Exchange_Rate</f>
        <v>42.896666666666668</v>
      </c>
      <c r="Y99" s="170">
        <f>Table5[[#This Row],[Cost]]+((CompareWarrYrs-Table5[[#This Row],[S]])*(Incremental_Warr_Yr*Table5[[#This Row],[Cost]]))</f>
        <v>199.46949999999998</v>
      </c>
      <c r="Z99" s="6">
        <f>Table5[[#This Row],[$+Warr]]/Table5[[#This Row],[SizTB]]</f>
        <v>66.489833333333323</v>
      </c>
      <c r="AA99" s="180">
        <f>Table5[[#This Row],[$PerTB]]/CompareWarrYrs</f>
        <v>13.297966666666664</v>
      </c>
      <c r="AB99" s="183"/>
      <c r="AC99" s="184"/>
      <c r="AD99" s="178"/>
    </row>
    <row r="100" spans="1:30" x14ac:dyDescent="0.25">
      <c r="A100" s="124">
        <v>43284</v>
      </c>
      <c r="B100" t="s">
        <v>41</v>
      </c>
      <c r="C100" s="125" t="s">
        <v>150</v>
      </c>
      <c r="D100" s="99" t="s">
        <v>127</v>
      </c>
      <c r="E100" s="119">
        <v>2.5</v>
      </c>
      <c r="F100" s="119">
        <v>1</v>
      </c>
      <c r="G100" s="46">
        <v>5400</v>
      </c>
      <c r="H100" s="5">
        <v>5.56</v>
      </c>
      <c r="I100" s="5"/>
      <c r="J100" s="65">
        <f>(Table5[[#This Row],[RPM]]/5400-1)</f>
        <v>0</v>
      </c>
      <c r="K100" s="49"/>
      <c r="L100" s="7">
        <v>2</v>
      </c>
      <c r="M100" s="126"/>
      <c r="N100" s="7"/>
      <c r="O100" s="126"/>
      <c r="P100" s="39">
        <f t="shared" ref="P100:P108" si="12">10^14</f>
        <v>100000000000000</v>
      </c>
      <c r="Q100" s="57"/>
      <c r="R100" s="5">
        <v>1.5</v>
      </c>
      <c r="S100" s="5">
        <v>0.55000000000000004</v>
      </c>
      <c r="T100" s="128"/>
      <c r="U100" s="132">
        <f>(((Table5[[#This Row],[Watts Active]]*Power_On_Hours_Year/1000)*Active_Duty_Cycle)+((Table5[[#This Row],[Watts Idle]]*Power_On_Hours_Year/1000)*(100%-Active_Duty_Cycle)))*CostPerKWH</f>
        <v>0.81083280000000013</v>
      </c>
      <c r="V100" s="166">
        <f>Table5[Energy$year]/Table5[[#This Row],[SizTB]]</f>
        <v>0.81083280000000013</v>
      </c>
      <c r="W100" s="140">
        <v>44.99</v>
      </c>
      <c r="X100" s="180">
        <f>Table5[[#This Row],[Cost]]/Table5[[#This Row],[SizTB]]*Exchange_Rate</f>
        <v>44.99</v>
      </c>
      <c r="Y100" s="170">
        <f>Table5[[#This Row],[Cost]]+((CompareWarrYrs-Table5[[#This Row],[S]])*(Incremental_Warr_Yr*Table5[[#This Row],[Cost]]))</f>
        <v>59.8367</v>
      </c>
      <c r="Z100" s="6">
        <f>Table5[[#This Row],[$+Warr]]/Table5[[#This Row],[SizTB]]</f>
        <v>59.8367</v>
      </c>
      <c r="AA100" s="180">
        <f>Table5[[#This Row],[$PerTB]]/CompareWarrYrs</f>
        <v>11.96734</v>
      </c>
      <c r="AB100" s="183">
        <v>23</v>
      </c>
      <c r="AC100" s="184">
        <v>24</v>
      </c>
      <c r="AD100" s="178"/>
    </row>
    <row r="101" spans="1:30" x14ac:dyDescent="0.25">
      <c r="A101" s="124">
        <v>43284</v>
      </c>
      <c r="B101" t="s">
        <v>41</v>
      </c>
      <c r="C101" s="125" t="s">
        <v>150</v>
      </c>
      <c r="D101" s="99" t="s">
        <v>127</v>
      </c>
      <c r="E101" s="119">
        <v>2.5</v>
      </c>
      <c r="F101" s="119">
        <v>2</v>
      </c>
      <c r="G101" s="46">
        <v>5400</v>
      </c>
      <c r="H101" s="5"/>
      <c r="I101" s="5"/>
      <c r="J101" s="65">
        <f>(Table5[[#This Row],[RPM]]/5400-1)</f>
        <v>0</v>
      </c>
      <c r="K101" s="49"/>
      <c r="L101" s="7">
        <v>2</v>
      </c>
      <c r="M101" s="126"/>
      <c r="N101" s="7"/>
      <c r="O101" s="126"/>
      <c r="P101" s="39">
        <f t="shared" si="12"/>
        <v>100000000000000</v>
      </c>
      <c r="Q101" s="57"/>
      <c r="R101" s="5"/>
      <c r="S101" s="5"/>
      <c r="T101" s="128"/>
      <c r="U101" s="132">
        <f>(((Table5[[#This Row],[Watts Active]]*Power_On_Hours_Year/1000)*Active_Duty_Cycle)+((Table5[[#This Row],[Watts Idle]]*Power_On_Hours_Year/1000)*(100%-Active_Duty_Cycle)))*CostPerKWH</f>
        <v>0</v>
      </c>
      <c r="V101" s="166">
        <f>Table5[Energy$year]/Table5[[#This Row],[SizTB]]</f>
        <v>0</v>
      </c>
      <c r="W101" s="140"/>
      <c r="X101" s="180">
        <f>Table5[[#This Row],[Cost]]/Table5[[#This Row],[SizTB]]*Exchange_Rate</f>
        <v>0</v>
      </c>
      <c r="Y101" s="170">
        <f>Table5[[#This Row],[Cost]]+((CompareWarrYrs-Table5[[#This Row],[S]])*(Incremental_Warr_Yr*Table5[[#This Row],[Cost]]))</f>
        <v>0</v>
      </c>
      <c r="Z101" s="6">
        <f>Table5[[#This Row],[$+Warr]]/Table5[[#This Row],[SizTB]]</f>
        <v>0</v>
      </c>
      <c r="AA101" s="180">
        <f>Table5[[#This Row],[$PerTB]]/CompareWarrYrs</f>
        <v>0</v>
      </c>
      <c r="AB101" s="183">
        <v>23</v>
      </c>
      <c r="AC101" s="184">
        <v>24</v>
      </c>
      <c r="AD101" s="178"/>
    </row>
    <row r="102" spans="1:30" x14ac:dyDescent="0.25">
      <c r="A102" s="1">
        <v>43298</v>
      </c>
      <c r="B102" t="s">
        <v>41</v>
      </c>
      <c r="C102" s="115" t="s">
        <v>42</v>
      </c>
      <c r="D102" s="31" t="s">
        <v>49</v>
      </c>
      <c r="E102" s="98">
        <v>3.5</v>
      </c>
      <c r="F102" s="85">
        <v>4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200</v>
      </c>
      <c r="L102">
        <v>3</v>
      </c>
      <c r="M102" s="40">
        <v>300000</v>
      </c>
      <c r="N102">
        <v>180</v>
      </c>
      <c r="O102" s="40">
        <v>1000000</v>
      </c>
      <c r="P102" s="39">
        <f t="shared" si="12"/>
        <v>100000000000000</v>
      </c>
      <c r="Q102" s="57"/>
      <c r="R102" s="5">
        <v>9.6</v>
      </c>
      <c r="S102" s="5">
        <v>5.2</v>
      </c>
      <c r="T102" s="128"/>
      <c r="U102" s="132">
        <f>(((Table5[[#This Row],[Watts Active]]*Power_On_Hours_Year/1000)*Active_Duty_Cycle)+((Table5[[#This Row],[Watts Idle]]*Power_On_Hours_Year/1000)*(100%-Active_Duty_Cycle)))*CostPerKWH</f>
        <v>6.6619776000000011</v>
      </c>
      <c r="V102" s="166">
        <f>Table5[Energy$year]/Table5[[#This Row],[SizTB]]</f>
        <v>1.6654944000000003</v>
      </c>
      <c r="W102" s="165">
        <f>118.99-19</f>
        <v>99.99</v>
      </c>
      <c r="X102" s="6">
        <f>Table5[[#This Row],[Cost]]/Table5[[#This Row],[SizTB]]*Exchange_Rate</f>
        <v>24.997499999999999</v>
      </c>
      <c r="Y102" s="170">
        <f>Table5[[#This Row],[Cost]]+((CompareWarrYrs-Table5[[#This Row],[S]])*(Incremental_Warr_Yr*Table5[[#This Row],[Cost]]))*Exchange_Rate</f>
        <v>121.98779999999999</v>
      </c>
      <c r="Z102" s="6">
        <f>Table5[[#This Row],[$+Warr]]/Table5[[#This Row],[SizTB]]</f>
        <v>30.496949999999998</v>
      </c>
      <c r="AA102" s="6">
        <f>Table5[[#This Row],[$PerTB]]/CompareWarrYrs</f>
        <v>6.0993899999999996</v>
      </c>
      <c r="AB102" s="183">
        <v>30</v>
      </c>
      <c r="AC102" s="184">
        <v>34</v>
      </c>
      <c r="AD102" s="178"/>
    </row>
    <row r="103" spans="1:30" x14ac:dyDescent="0.25">
      <c r="A103" s="1">
        <v>43298</v>
      </c>
      <c r="B103" t="s">
        <v>41</v>
      </c>
      <c r="C103" s="115" t="s">
        <v>42</v>
      </c>
      <c r="D103" s="31" t="s">
        <v>49</v>
      </c>
      <c r="E103" s="98">
        <v>3.5</v>
      </c>
      <c r="F103" s="85">
        <v>6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>
        <v>210</v>
      </c>
      <c r="L103">
        <v>3</v>
      </c>
      <c r="M103" s="40">
        <v>300000</v>
      </c>
      <c r="N103">
        <v>180</v>
      </c>
      <c r="O103" s="40">
        <v>1000000</v>
      </c>
      <c r="P103" s="39">
        <f t="shared" si="12"/>
        <v>100000000000000</v>
      </c>
      <c r="Q103" s="57"/>
      <c r="R103" s="5">
        <v>10.1</v>
      </c>
      <c r="S103" s="5">
        <v>6.7</v>
      </c>
      <c r="T103" s="128"/>
      <c r="U103" s="132">
        <f>(((Table5[[#This Row],[Watts Active]]*Power_On_Hours_Year/1000)*Active_Duty_Cycle)+((Table5[[#This Row],[Watts Idle]]*Power_On_Hours_Year/1000)*(100%-Active_Duty_Cycle)))*CostPerKWH</f>
        <v>8.0864136000000002</v>
      </c>
      <c r="V103" s="166">
        <f>Table5[Energy$year]/Table5[[#This Row],[SizTB]]</f>
        <v>1.3477356</v>
      </c>
      <c r="W103" s="165">
        <v>189.99</v>
      </c>
      <c r="X103" s="6">
        <f>Table5[[#This Row],[Cost]]/Table5[[#This Row],[SizTB]]*Exchange_Rate</f>
        <v>31.665000000000003</v>
      </c>
      <c r="Y103" s="170">
        <f>Table5[[#This Row],[Cost]]+((CompareWarrYrs-Table5[[#This Row],[S]])*(Incremental_Warr_Yr*Table5[[#This Row],[Cost]]))*Exchange_Rate</f>
        <v>231.7878</v>
      </c>
      <c r="Z103" s="6">
        <f>Table5[[#This Row],[$+Warr]]/Table5[[#This Row],[SizTB]]</f>
        <v>38.631300000000003</v>
      </c>
      <c r="AA103" s="6">
        <f>Table5[[#This Row],[$PerTB]]/CompareWarrYrs</f>
        <v>7.7262600000000008</v>
      </c>
      <c r="AB103" s="183">
        <v>33</v>
      </c>
      <c r="AC103" s="184">
        <v>35</v>
      </c>
      <c r="AD103" s="178"/>
    </row>
    <row r="104" spans="1:30" x14ac:dyDescent="0.25">
      <c r="A104" s="1">
        <v>43298</v>
      </c>
      <c r="B104" t="s">
        <v>41</v>
      </c>
      <c r="C104" s="115" t="s">
        <v>42</v>
      </c>
      <c r="D104" s="31" t="s">
        <v>49</v>
      </c>
      <c r="E104" s="98">
        <v>3.5</v>
      </c>
      <c r="F104" s="85">
        <v>8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>
        <v>240</v>
      </c>
      <c r="L104">
        <v>3</v>
      </c>
      <c r="M104" s="40">
        <v>300000</v>
      </c>
      <c r="N104">
        <v>180</v>
      </c>
      <c r="O104" s="40">
        <v>1000000</v>
      </c>
      <c r="P104" s="39">
        <f t="shared" si="12"/>
        <v>100000000000000</v>
      </c>
      <c r="Q104" s="57"/>
      <c r="R104" s="5">
        <v>9.1999999999999993</v>
      </c>
      <c r="S104" s="5">
        <v>6.2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7.4508960000000002</v>
      </c>
      <c r="V104" s="166">
        <f>Table5[Energy$year]/Table5[[#This Row],[SizTB]]</f>
        <v>0.93136200000000002</v>
      </c>
      <c r="W104" s="165">
        <v>245</v>
      </c>
      <c r="X104" s="6">
        <f>Table5[[#This Row],[Cost]]/Table5[[#This Row],[SizTB]]*Exchange_Rate</f>
        <v>30.625</v>
      </c>
      <c r="Y104" s="170">
        <f>Table5[[#This Row],[Cost]]+((CompareWarrYrs-Table5[[#This Row],[S]])*(Incremental_Warr_Yr*Table5[[#This Row],[Cost]]))*Exchange_Rate</f>
        <v>298.89999999999998</v>
      </c>
      <c r="Z104" s="6">
        <f>Table5[[#This Row],[$+Warr]]/Table5[[#This Row],[SizTB]]</f>
        <v>37.362499999999997</v>
      </c>
      <c r="AA104" s="6">
        <f>Table5[[#This Row],[$PerTB]]/CompareWarrYrs</f>
        <v>7.4724999999999993</v>
      </c>
      <c r="AB104" s="183">
        <v>33</v>
      </c>
      <c r="AC104" s="184">
        <v>35</v>
      </c>
      <c r="AD104" s="178"/>
    </row>
    <row r="105" spans="1:30" x14ac:dyDescent="0.25">
      <c r="A105" s="1" t="s">
        <v>157</v>
      </c>
      <c r="B105" t="s">
        <v>41</v>
      </c>
      <c r="C105" s="115" t="s">
        <v>42</v>
      </c>
      <c r="D105" s="127" t="s">
        <v>49</v>
      </c>
      <c r="E105" s="98">
        <v>3.5</v>
      </c>
      <c r="F105" s="85">
        <v>10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>
        <v>240</v>
      </c>
      <c r="L105">
        <v>3</v>
      </c>
      <c r="M105" s="40">
        <v>300000</v>
      </c>
      <c r="N105">
        <v>180</v>
      </c>
      <c r="O105" s="40">
        <v>1000000</v>
      </c>
      <c r="P105" s="39">
        <f t="shared" si="12"/>
        <v>100000000000000</v>
      </c>
      <c r="Q105" s="57"/>
      <c r="R105" s="5">
        <v>9.1999999999999993</v>
      </c>
      <c r="S105" s="5">
        <v>7.2</v>
      </c>
      <c r="T105" s="128"/>
      <c r="U105" s="132">
        <f>(((Table5[[#This Row],[Watts Active]]*Power_On_Hours_Year/1000)*Active_Duty_Cycle)+((Table5[[#This Row],[Watts Idle]]*Power_On_Hours_Year/1000)*(100%-Active_Duty_Cycle)))*CostPerKWH</f>
        <v>8.3274720000000002</v>
      </c>
      <c r="V105" s="166">
        <f>Table5[Energy$year]/Table5[[#This Row],[SizTB]]</f>
        <v>0.83274720000000002</v>
      </c>
      <c r="W105" s="165"/>
      <c r="X105" s="6">
        <f>Table5[[#This Row],[Cost]]/Table5[[#This Row],[SizTB]]*Exchange_Rate</f>
        <v>0</v>
      </c>
      <c r="Y105" s="170">
        <f>Table5[[#This Row],[Cost]]+((CompareWarrYrs-Table5[[#This Row],[S]])*(Incremental_Warr_Yr*Table5[[#This Row],[Cost]]))*Exchange_Rate</f>
        <v>0</v>
      </c>
      <c r="Z105" s="6">
        <f>Table5[[#This Row],[$+Warr]]/Table5[[#This Row],[SizTB]]</f>
        <v>0</v>
      </c>
      <c r="AA105" s="6">
        <f>Table5[[#This Row],[$PerTB]]/CompareWarrYrs</f>
        <v>0</v>
      </c>
      <c r="AB105" s="183">
        <v>34</v>
      </c>
      <c r="AC105" s="184">
        <v>35</v>
      </c>
      <c r="AD105" s="178"/>
    </row>
    <row r="106" spans="1:30" x14ac:dyDescent="0.25">
      <c r="A106" s="1">
        <v>43298</v>
      </c>
      <c r="B106" t="s">
        <v>41</v>
      </c>
      <c r="C106" s="115" t="s">
        <v>54</v>
      </c>
      <c r="D106" s="31" t="s">
        <v>128</v>
      </c>
      <c r="E106" s="98">
        <v>3.5</v>
      </c>
      <c r="F106" s="85">
        <v>1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si="12"/>
        <v>100000000000000</v>
      </c>
      <c r="Q106" s="57"/>
      <c r="R106" s="5">
        <v>6.4</v>
      </c>
      <c r="S106" s="5">
        <v>3.7</v>
      </c>
      <c r="T106" s="128"/>
      <c r="U106" s="132">
        <f>(((Table5[[#This Row],[Watts Active]]*Power_On_Hours_Year/1000)*Active_Duty_Cycle)+((Table5[[#This Row],[Watts Idle]]*Power_On_Hours_Year/1000)*(100%-Active_Duty_Cycle)))*CostPerKWH</f>
        <v>4.6458528000000001</v>
      </c>
      <c r="V106" s="166">
        <f>Table5[Energy$year]/Table5[[#This Row],[SizTB]]</f>
        <v>4.6458528000000001</v>
      </c>
      <c r="W106" s="165">
        <v>46.99</v>
      </c>
      <c r="X106" s="6">
        <f>Table5[[#This Row],[Cost]]/Table5[[#This Row],[SizTB]]*Exchange_Rate</f>
        <v>46.99</v>
      </c>
      <c r="Y106" s="170">
        <f>Table5[[#This Row],[Cost]]+((CompareWarrYrs-Table5[[#This Row],[S]])*(Incremental_Warr_Yr*Table5[[#This Row],[Cost]]))*Exchange_Rate</f>
        <v>62.496700000000004</v>
      </c>
      <c r="Z106" s="6">
        <f>Table5[[#This Row],[$+Warr]]/Table5[[#This Row],[SizTB]]</f>
        <v>62.496700000000004</v>
      </c>
      <c r="AA106" s="6">
        <f>Table5[[#This Row],[$PerTB]]/CompareWarrYrs</f>
        <v>12.49934</v>
      </c>
      <c r="AB106" s="183">
        <v>24</v>
      </c>
      <c r="AC106" s="184">
        <v>26</v>
      </c>
      <c r="AD106" s="178"/>
    </row>
    <row r="107" spans="1:30" x14ac:dyDescent="0.25">
      <c r="A107" s="1">
        <v>43298</v>
      </c>
      <c r="B107" t="s">
        <v>41</v>
      </c>
      <c r="C107" s="115" t="s">
        <v>54</v>
      </c>
      <c r="D107" s="127" t="s">
        <v>128</v>
      </c>
      <c r="E107" s="98">
        <v>3.5</v>
      </c>
      <c r="F107" s="85">
        <v>2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2"/>
        <v>100000000000000</v>
      </c>
      <c r="Q107" s="57"/>
      <c r="R107" s="5">
        <v>6.4</v>
      </c>
      <c r="S107" s="5">
        <v>5.2</v>
      </c>
      <c r="T107" s="128"/>
      <c r="U107" s="132">
        <f>(((Table5[[#This Row],[Watts Active]]*Power_On_Hours_Year/1000)*Active_Duty_Cycle)+((Table5[[#This Row],[Watts Idle]]*Power_On_Hours_Year/1000)*(100%-Active_Duty_Cycle)))*CostPerKWH</f>
        <v>5.960716800000001</v>
      </c>
      <c r="V107" s="166">
        <f>Table5[Energy$year]/Table5[[#This Row],[SizTB]]</f>
        <v>2.9803584000000005</v>
      </c>
      <c r="W107" s="165">
        <v>70.92</v>
      </c>
      <c r="X107" s="6">
        <f>Table5[[#This Row],[Cost]]/Table5[[#This Row],[SizTB]]*Exchange_Rate</f>
        <v>35.46</v>
      </c>
      <c r="Y107" s="170">
        <f>Table5[[#This Row],[Cost]]+((CompareWarrYrs-Table5[[#This Row],[S]])*(Incremental_Warr_Yr*Table5[[#This Row],[Cost]]))*Exchange_Rate</f>
        <v>94.323599999999999</v>
      </c>
      <c r="Z107" s="6">
        <f>Table5[[#This Row],[$+Warr]]/Table5[[#This Row],[SizTB]]</f>
        <v>47.161799999999999</v>
      </c>
      <c r="AA107" s="6">
        <f>Table5[[#This Row],[$PerTB]]/CompareWarrYrs</f>
        <v>9.4323599999999992</v>
      </c>
      <c r="AB107" s="183">
        <v>27</v>
      </c>
      <c r="AC107" s="184">
        <v>28</v>
      </c>
      <c r="AD107" s="178"/>
    </row>
    <row r="108" spans="1:30" x14ac:dyDescent="0.25">
      <c r="A108" s="1">
        <v>43298</v>
      </c>
      <c r="B108" t="s">
        <v>41</v>
      </c>
      <c r="C108" s="115" t="s">
        <v>54</v>
      </c>
      <c r="D108" s="127" t="s">
        <v>128</v>
      </c>
      <c r="E108" s="98">
        <v>3.5</v>
      </c>
      <c r="F108" s="85">
        <v>3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2"/>
        <v>100000000000000</v>
      </c>
      <c r="Q108" s="57"/>
      <c r="R108" s="5">
        <v>6.4</v>
      </c>
      <c r="S108" s="5">
        <v>5.2</v>
      </c>
      <c r="T108" s="128"/>
      <c r="U108" s="132">
        <f>(((Table5[[#This Row],[Watts Active]]*Power_On_Hours_Year/1000)*Active_Duty_Cycle)+((Table5[[#This Row],[Watts Idle]]*Power_On_Hours_Year/1000)*(100%-Active_Duty_Cycle)))*CostPerKWH</f>
        <v>5.960716800000001</v>
      </c>
      <c r="V108" s="166">
        <f>Table5[Energy$year]/Table5[[#This Row],[SizTB]]</f>
        <v>1.9869056000000003</v>
      </c>
      <c r="W108" s="165">
        <f>77.99-18</f>
        <v>59.989999999999995</v>
      </c>
      <c r="X108" s="6">
        <f>Table5[[#This Row],[Cost]]/Table5[[#This Row],[SizTB]]*Exchange_Rate</f>
        <v>19.996666666666666</v>
      </c>
      <c r="Y108" s="170">
        <f>Table5[[#This Row],[Cost]]+((CompareWarrYrs-Table5[[#This Row],[S]])*(Incremental_Warr_Yr*Table5[[#This Row],[Cost]]))*Exchange_Rate</f>
        <v>79.786699999999996</v>
      </c>
      <c r="Z108" s="6">
        <f>Table5[[#This Row],[$+Warr]]/Table5[[#This Row],[SizTB]]</f>
        <v>26.595566666666667</v>
      </c>
      <c r="AA108" s="6">
        <f>Table5[[#This Row],[$PerTB]]/CompareWarrYrs</f>
        <v>5.3191133333333331</v>
      </c>
      <c r="AB108" s="183">
        <v>27</v>
      </c>
      <c r="AC108" s="184">
        <v>28</v>
      </c>
      <c r="AD108" s="178"/>
    </row>
    <row r="109" spans="1:30" x14ac:dyDescent="0.25">
      <c r="A109" s="1">
        <v>43298</v>
      </c>
      <c r="B109" t="s">
        <v>41</v>
      </c>
      <c r="C109" s="115" t="s">
        <v>65</v>
      </c>
      <c r="D109" s="127" t="s">
        <v>128</v>
      </c>
      <c r="E109" s="98">
        <v>3.5</v>
      </c>
      <c r="F109" s="85">
        <v>4</v>
      </c>
      <c r="G109" s="46">
        <v>7200</v>
      </c>
      <c r="H109" s="5">
        <v>4.17</v>
      </c>
      <c r="I109" s="5"/>
      <c r="J109" s="65">
        <f>(Table5[[#This Row],[RPM]]/5400-1)</f>
        <v>0.33333333333333326</v>
      </c>
      <c r="K109" s="49"/>
      <c r="L109">
        <v>2</v>
      </c>
      <c r="M109" s="40"/>
      <c r="O109" s="40"/>
      <c r="P109" s="39">
        <f t="shared" ref="P109:P113" si="13">10^14</f>
        <v>100000000000000</v>
      </c>
      <c r="Q109" s="57"/>
      <c r="R109" s="5">
        <v>11.3</v>
      </c>
      <c r="S109" s="5">
        <v>6</v>
      </c>
      <c r="T109" s="128"/>
      <c r="U109" s="132">
        <f>(((Table5[[#This Row],[Watts Active]]*Power_On_Hours_Year/1000)*Active_Duty_Cycle)+((Table5[[#This Row],[Watts Idle]]*Power_On_Hours_Year/1000)*(100%-Active_Duty_Cycle)))*CostPerKWH</f>
        <v>7.7357832000000002</v>
      </c>
      <c r="V109" s="166">
        <f>Table5[Energy$year]/Table5[[#This Row],[SizTB]]</f>
        <v>1.9339458</v>
      </c>
      <c r="W109" s="165">
        <v>93.49</v>
      </c>
      <c r="X109" s="6">
        <f>Table5[[#This Row],[Cost]]/Table5[[#This Row],[SizTB]]*Exchange_Rate</f>
        <v>23.372499999999999</v>
      </c>
      <c r="Y109" s="170">
        <f>Table5[[#This Row],[Cost]]+((CompareWarrYrs-Table5[[#This Row],[S]])*(Incremental_Warr_Yr*Table5[[#This Row],[Cost]]))*Exchange_Rate</f>
        <v>124.34169999999999</v>
      </c>
      <c r="Z109" s="6">
        <f>Table5[[#This Row],[$+Warr]]/Table5[[#This Row],[SizTB]]</f>
        <v>31.085424999999997</v>
      </c>
      <c r="AA109" s="6">
        <f>Table5[[#This Row],[$PerTB]]/CompareWarrYrs</f>
        <v>6.2170849999999991</v>
      </c>
      <c r="AB109" s="183">
        <v>31</v>
      </c>
      <c r="AC109" s="184"/>
      <c r="AD109" s="178"/>
    </row>
    <row r="110" spans="1:30" x14ac:dyDescent="0.25">
      <c r="A110" s="1">
        <v>43298</v>
      </c>
      <c r="B110" t="s">
        <v>41</v>
      </c>
      <c r="C110" s="115" t="s">
        <v>65</v>
      </c>
      <c r="D110" s="127" t="s">
        <v>128</v>
      </c>
      <c r="E110" s="98">
        <v>3.5</v>
      </c>
      <c r="F110" s="85">
        <v>5</v>
      </c>
      <c r="G110" s="46">
        <v>7200</v>
      </c>
      <c r="H110" s="5">
        <v>4.17</v>
      </c>
      <c r="I110" s="5"/>
      <c r="J110" s="65">
        <f>(Table5[[#This Row],[RPM]]/5400-1)</f>
        <v>0.33333333333333326</v>
      </c>
      <c r="K110" s="49"/>
      <c r="L110">
        <v>2</v>
      </c>
      <c r="M110" s="40"/>
      <c r="O110" s="40"/>
      <c r="P110" s="39">
        <f t="shared" si="13"/>
        <v>100000000000000</v>
      </c>
      <c r="Q110" s="57"/>
      <c r="R110" s="5">
        <v>11.3</v>
      </c>
      <c r="S110" s="5">
        <v>6</v>
      </c>
      <c r="T110" s="128"/>
      <c r="U110" s="132">
        <f>(((Table5[[#This Row],[Watts Active]]*Power_On_Hours_Year/1000)*Active_Duty_Cycle)+((Table5[[#This Row],[Watts Idle]]*Power_On_Hours_Year/1000)*(100%-Active_Duty_Cycle)))*CostPerKWH</f>
        <v>7.7357832000000002</v>
      </c>
      <c r="V110" s="166">
        <f>Table5[Energy$year]/Table5[[#This Row],[SizTB]]</f>
        <v>1.5471566400000001</v>
      </c>
      <c r="W110" s="165">
        <f>139.99-25</f>
        <v>114.99000000000001</v>
      </c>
      <c r="X110" s="6">
        <f>Table5[[#This Row],[Cost]]/Table5[[#This Row],[SizTB]]*Exchange_Rate</f>
        <v>22.998000000000001</v>
      </c>
      <c r="Y110" s="170">
        <f>Table5[[#This Row],[Cost]]+((CompareWarrYrs-Table5[[#This Row],[S]])*(Incremental_Warr_Yr*Table5[[#This Row],[Cost]]))*Exchange_Rate</f>
        <v>152.93670000000003</v>
      </c>
      <c r="Z110" s="6">
        <f>Table5[[#This Row],[$+Warr]]/Table5[[#This Row],[SizTB]]</f>
        <v>30.587340000000005</v>
      </c>
      <c r="AA110" s="6">
        <f>Table5[[#This Row],[$PerTB]]/CompareWarrYrs</f>
        <v>6.1174680000000006</v>
      </c>
      <c r="AB110" s="183">
        <v>31</v>
      </c>
      <c r="AC110" s="184"/>
      <c r="AD110" s="178"/>
    </row>
    <row r="111" spans="1:30" x14ac:dyDescent="0.25">
      <c r="A111" s="1">
        <v>43298</v>
      </c>
      <c r="B111" t="s">
        <v>41</v>
      </c>
      <c r="C111" s="115" t="s">
        <v>65</v>
      </c>
      <c r="D111" s="127" t="s">
        <v>128</v>
      </c>
      <c r="E111" s="98">
        <v>3.5</v>
      </c>
      <c r="F111" s="85">
        <v>6</v>
      </c>
      <c r="G111" s="46">
        <v>7200</v>
      </c>
      <c r="H111" s="5">
        <v>4.17</v>
      </c>
      <c r="I111" s="5"/>
      <c r="J111" s="65">
        <f>(Table5[[#This Row],[RPM]]/5400-1)</f>
        <v>0.33333333333333326</v>
      </c>
      <c r="K111" s="49"/>
      <c r="L111">
        <v>2</v>
      </c>
      <c r="M111" s="40"/>
      <c r="O111" s="40"/>
      <c r="P111" s="39">
        <f t="shared" si="13"/>
        <v>100000000000000</v>
      </c>
      <c r="Q111" s="57"/>
      <c r="R111" s="5">
        <v>11.3</v>
      </c>
      <c r="S111" s="5">
        <v>6</v>
      </c>
      <c r="T111" s="128"/>
      <c r="U111" s="132">
        <f>(((Table5[[#This Row],[Watts Active]]*Power_On_Hours_Year/1000)*Active_Duty_Cycle)+((Table5[[#This Row],[Watts Idle]]*Power_On_Hours_Year/1000)*(100%-Active_Duty_Cycle)))*CostPerKWH</f>
        <v>7.7357832000000002</v>
      </c>
      <c r="V111" s="166">
        <f>Table5[Energy$year]/Table5[[#This Row],[SizTB]]</f>
        <v>1.2892972</v>
      </c>
      <c r="W111" s="165">
        <v>180.93</v>
      </c>
      <c r="X111" s="6">
        <f>Table5[[#This Row],[Cost]]/Table5[[#This Row],[SizTB]]*Exchange_Rate</f>
        <v>30.155000000000001</v>
      </c>
      <c r="Y111" s="170">
        <f>Table5[[#This Row],[Cost]]+((CompareWarrYrs-Table5[[#This Row],[S]])*(Incremental_Warr_Yr*Table5[[#This Row],[Cost]]))*Exchange_Rate</f>
        <v>240.63690000000003</v>
      </c>
      <c r="Z111" s="6">
        <f>Table5[[#This Row],[$+Warr]]/Table5[[#This Row],[SizTB]]</f>
        <v>40.106150000000007</v>
      </c>
      <c r="AA111" s="6">
        <f>Table5[[#This Row],[$PerTB]]/CompareWarrYrs</f>
        <v>8.021230000000001</v>
      </c>
      <c r="AB111" s="183">
        <v>34</v>
      </c>
      <c r="AC111" s="184"/>
      <c r="AD111" s="178"/>
    </row>
    <row r="112" spans="1:30" x14ac:dyDescent="0.25">
      <c r="A112" s="124">
        <v>43298</v>
      </c>
      <c r="B112" s="7" t="s">
        <v>41</v>
      </c>
      <c r="C112" s="125" t="s">
        <v>65</v>
      </c>
      <c r="D112" s="99" t="s">
        <v>128</v>
      </c>
      <c r="E112" s="85">
        <v>3.5</v>
      </c>
      <c r="F112" s="85">
        <v>8</v>
      </c>
      <c r="G112" s="46">
        <v>7200</v>
      </c>
      <c r="H112" s="5">
        <v>4.17</v>
      </c>
      <c r="I112" s="5"/>
      <c r="J112" s="65">
        <v>0.33333333333333326</v>
      </c>
      <c r="K112" s="49"/>
      <c r="L112" s="7">
        <v>2</v>
      </c>
      <c r="M112" s="126"/>
      <c r="N112" s="7"/>
      <c r="O112" s="126"/>
      <c r="P112" s="205">
        <v>100000000000000</v>
      </c>
      <c r="Q112" s="57"/>
      <c r="R112" s="5">
        <v>11.3</v>
      </c>
      <c r="S112" s="5">
        <v>6</v>
      </c>
      <c r="T112" s="128"/>
      <c r="U112" s="132">
        <v>7.7357832000000002</v>
      </c>
      <c r="V112" s="166">
        <v>0.96697290000000002</v>
      </c>
      <c r="W112" s="165">
        <v>242.39</v>
      </c>
      <c r="X112" s="6">
        <v>30.748750000000001</v>
      </c>
      <c r="Y112" s="170">
        <v>327.16669999999999</v>
      </c>
      <c r="Z112" s="6">
        <v>40.895837499999999</v>
      </c>
      <c r="AA112" s="6">
        <v>8.1791675000000001</v>
      </c>
      <c r="AB112" s="183">
        <v>34</v>
      </c>
      <c r="AC112" s="184"/>
      <c r="AD112" s="44"/>
    </row>
    <row r="113" spans="1:30" ht="15.75" thickBot="1" x14ac:dyDescent="0.3">
      <c r="A113" s="69">
        <v>43298</v>
      </c>
      <c r="B113" s="70" t="s">
        <v>41</v>
      </c>
      <c r="C113" s="114" t="s">
        <v>65</v>
      </c>
      <c r="D113" s="71" t="s">
        <v>128</v>
      </c>
      <c r="E113" s="86">
        <v>3.5</v>
      </c>
      <c r="F113" s="86">
        <v>10</v>
      </c>
      <c r="G113" s="72">
        <v>7200</v>
      </c>
      <c r="H113" s="73">
        <v>4.17</v>
      </c>
      <c r="I113" s="73"/>
      <c r="J113" s="74">
        <f>(Table5[[#This Row],[RPM]]/5400-1)</f>
        <v>0.33333333333333326</v>
      </c>
      <c r="K113" s="75"/>
      <c r="L113" s="70">
        <v>2</v>
      </c>
      <c r="M113" s="76"/>
      <c r="N113" s="70"/>
      <c r="O113" s="76"/>
      <c r="P113" s="161">
        <f t="shared" si="13"/>
        <v>100000000000000</v>
      </c>
      <c r="Q113" s="78"/>
      <c r="R113" s="160"/>
      <c r="S113" s="160"/>
      <c r="T113" s="129"/>
      <c r="U113" s="132">
        <f>(((Table5[[#This Row],[Watts Active]]*Power_On_Hours_Year/1000)*Active_Duty_Cycle)+((Table5[[#This Row],[Watts Idle]]*Power_On_Hours_Year/1000)*(100%-Active_Duty_Cycle)))*CostPerKWH</f>
        <v>0</v>
      </c>
      <c r="V113" s="166">
        <f>Table5[Energy$year]/Table5[[#This Row],[SizTB]]</f>
        <v>0</v>
      </c>
      <c r="W113" s="196">
        <v>374.6</v>
      </c>
      <c r="X113" s="79">
        <f>Table5[[#This Row],[Cost]]/Table5[[#This Row],[SizTB]]*Exchange_Rate</f>
        <v>37.46</v>
      </c>
      <c r="Y113" s="170">
        <f>Table5[[#This Row],[Cost]]+((CompareWarrYrs-Table5[[#This Row],[S]])*(Incremental_Warr_Yr*Table5[[#This Row],[Cost]]))*Exchange_Rate</f>
        <v>498.21800000000002</v>
      </c>
      <c r="Z113" s="79">
        <f>Table5[[#This Row],[$+Warr]]/Table5[[#This Row],[SizTB]]</f>
        <v>49.821800000000003</v>
      </c>
      <c r="AA113" s="79">
        <f>Table5[[#This Row],[$PerTB]]/CompareWarrYrs</f>
        <v>9.964360000000001</v>
      </c>
      <c r="AB113" s="185"/>
      <c r="AC113" s="186"/>
      <c r="AD113" s="80"/>
    </row>
    <row r="114" spans="1:30" ht="15.75" thickTop="1" x14ac:dyDescent="0.25">
      <c r="A114" s="1">
        <v>43166</v>
      </c>
      <c r="B114" t="s">
        <v>6</v>
      </c>
      <c r="C114" s="115" t="s">
        <v>79</v>
      </c>
      <c r="D114" s="31" t="s">
        <v>49</v>
      </c>
      <c r="E114" s="98">
        <v>3.5</v>
      </c>
      <c r="F114" s="85">
        <v>6</v>
      </c>
      <c r="G114" s="46">
        <v>5760</v>
      </c>
      <c r="H114" s="5"/>
      <c r="I114" s="5"/>
      <c r="J114" s="65">
        <f>(Table5[[#This Row],[RPM]]/5400-1)</f>
        <v>6.6666666666666652E-2</v>
      </c>
      <c r="K114" s="49">
        <v>150</v>
      </c>
      <c r="L114">
        <v>3</v>
      </c>
      <c r="M114" s="40">
        <v>300000</v>
      </c>
      <c r="O114" s="40">
        <v>500000</v>
      </c>
      <c r="P114" s="39">
        <f t="shared" ref="P114:P119" si="14">10^14</f>
        <v>100000000000000</v>
      </c>
      <c r="Q114" s="57"/>
      <c r="R114" s="5">
        <v>6.5</v>
      </c>
      <c r="S114" s="5">
        <v>4.8</v>
      </c>
      <c r="T114" s="128"/>
      <c r="U114" s="132">
        <f>(((Table5[[#This Row],[Watts Active]]*Power_On_Hours_Year/1000)*Active_Duty_Cycle)+((Table5[[#This Row],[Watts Idle]]*Power_On_Hours_Year/1000)*(100%-Active_Duty_Cycle)))*CostPerKWH</f>
        <v>5.6320008000000001</v>
      </c>
      <c r="V114" s="166">
        <f>Table5[Energy$year]/Table5[[#This Row],[SizTB]]</f>
        <v>0.93866680000000002</v>
      </c>
      <c r="W114" s="165">
        <v>236</v>
      </c>
      <c r="X114" s="6">
        <f>Table5[[#This Row],[Cost]]/Table5[[#This Row],[SizTB]]*Exchange_Rate</f>
        <v>39.333333333333336</v>
      </c>
      <c r="Y114" s="170">
        <f>Table5[[#This Row],[Cost]]+((CompareWarrYrs-Table5[[#This Row],[S]])*(Incremental_Warr_Yr*Table5[[#This Row],[Cost]]))*Exchange_Rate</f>
        <v>287.92</v>
      </c>
      <c r="Z114" s="6">
        <f>Table5[[#This Row],[$+Warr]]/Table5[[#This Row],[SizTB]]</f>
        <v>47.986666666666672</v>
      </c>
      <c r="AA114" s="6">
        <f>Table5[[#This Row],[$PerTB]]/CompareWarrYrs</f>
        <v>9.597333333333335</v>
      </c>
      <c r="AB114" s="183"/>
      <c r="AC114" s="184"/>
      <c r="AD114" s="44"/>
    </row>
    <row r="115" spans="1:30" x14ac:dyDescent="0.25">
      <c r="A115" s="1">
        <v>43130</v>
      </c>
      <c r="B115" t="s">
        <v>6</v>
      </c>
      <c r="C115" s="115" t="s">
        <v>5</v>
      </c>
      <c r="D115" s="121" t="s">
        <v>127</v>
      </c>
      <c r="E115" s="98">
        <v>2.5</v>
      </c>
      <c r="F115" s="85">
        <v>1</v>
      </c>
      <c r="G115" s="46">
        <v>7200</v>
      </c>
      <c r="H115" s="5"/>
      <c r="I115" s="5"/>
      <c r="J115" s="65">
        <f>(Table5[[#This Row],[RPM]]/5400-1)</f>
        <v>0.33333333333333326</v>
      </c>
      <c r="K115" s="49"/>
      <c r="L115">
        <v>5</v>
      </c>
      <c r="M115" s="40">
        <v>600000</v>
      </c>
      <c r="O115" s="40"/>
      <c r="P115" s="39">
        <f t="shared" si="14"/>
        <v>100000000000000</v>
      </c>
      <c r="Q115" s="57">
        <f>1.1*5</f>
        <v>5.5</v>
      </c>
      <c r="R115" s="5">
        <v>1.8</v>
      </c>
      <c r="S115" s="5">
        <v>0.8</v>
      </c>
      <c r="T115" s="128">
        <v>0.2</v>
      </c>
      <c r="U115" s="132">
        <f>(((Table5[[#This Row],[Watts Active]]*Power_On_Hours_Year/1000)*Active_Duty_Cycle)+((Table5[[#This Row],[Watts Idle]]*Power_On_Hours_Year/1000)*(100%-Active_Duty_Cycle)))*CostPerKWH</f>
        <v>1.09572</v>
      </c>
      <c r="V115" s="166">
        <f>Table5[Energy$year]/Table5[[#This Row],[SizTB]]</f>
        <v>1.09572</v>
      </c>
      <c r="W115" s="165">
        <v>59.99</v>
      </c>
      <c r="X115" s="6">
        <f>Table5[[#This Row],[Cost]]/Table5[[#This Row],[SizTB]]*Exchange_Rate</f>
        <v>59.99</v>
      </c>
      <c r="Y115" s="170">
        <f>Table5[[#This Row],[Cost]]+((CompareWarrYrs-Table5[[#This Row],[S]])*(Incremental_Warr_Yr*Table5[[#This Row],[Cost]]))*Exchange_Rate</f>
        <v>59.99</v>
      </c>
      <c r="Z115" s="6">
        <f>Table5[[#This Row],[$+Warr]]/Table5[[#This Row],[SizTB]]</f>
        <v>59.99</v>
      </c>
      <c r="AA115" s="6">
        <f>Table5[[#This Row],[$PerTB]]/CompareWarrYrs</f>
        <v>11.998000000000001</v>
      </c>
      <c r="AB115" s="183">
        <v>25</v>
      </c>
      <c r="AC115" s="184">
        <v>27</v>
      </c>
      <c r="AD115" s="44"/>
    </row>
    <row r="116" spans="1:30" x14ac:dyDescent="0.25">
      <c r="A116" s="1">
        <v>43298</v>
      </c>
      <c r="B116" t="s">
        <v>6</v>
      </c>
      <c r="C116" s="115" t="s">
        <v>5</v>
      </c>
      <c r="D116" s="127" t="s">
        <v>128</v>
      </c>
      <c r="E116" s="98">
        <v>3.5</v>
      </c>
      <c r="F116" s="85">
        <v>1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150</v>
      </c>
      <c r="L116">
        <v>5</v>
      </c>
      <c r="M116" s="40">
        <v>300000</v>
      </c>
      <c r="O116" s="40"/>
      <c r="P116" s="39">
        <f t="shared" si="14"/>
        <v>100000000000000</v>
      </c>
      <c r="Q116" s="57"/>
      <c r="R116" s="5">
        <v>6.8</v>
      </c>
      <c r="S116" s="5">
        <v>6.1</v>
      </c>
      <c r="T116" s="128">
        <v>0.8</v>
      </c>
      <c r="U116" s="132">
        <f>(((Table5[[#This Row],[Watts Active]]*Power_On_Hours_Year/1000)*Active_Duty_Cycle)+((Table5[[#This Row],[Watts Idle]]*Power_On_Hours_Year/1000)*(100%-Active_Duty_Cycle)))*CostPerKWH</f>
        <v>6.8372928000000002</v>
      </c>
      <c r="V116" s="166">
        <f>Table5[Energy$year]/Table5[[#This Row],[SizTB]]</f>
        <v>6.8372928000000002</v>
      </c>
      <c r="W116" s="165">
        <f>71.99-15</f>
        <v>56.989999999999995</v>
      </c>
      <c r="X116" s="6">
        <f>Table5[[#This Row],[Cost]]/Table5[[#This Row],[SizTB]]*Exchange_Rate</f>
        <v>56.989999999999995</v>
      </c>
      <c r="Y116" s="170">
        <f>Table5[[#This Row],[Cost]]+((CompareWarrYrs-Table5[[#This Row],[S]])*(Incremental_Warr_Yr*Table5[[#This Row],[Cost]]))*Exchange_Rate</f>
        <v>56.989999999999995</v>
      </c>
      <c r="Z116" s="6">
        <f>Table5[[#This Row],[$+Warr]]/Table5[[#This Row],[SizTB]]</f>
        <v>56.989999999999995</v>
      </c>
      <c r="AA116" s="6">
        <f>Table5[[#This Row],[$PerTB]]/CompareWarrYrs</f>
        <v>11.398</v>
      </c>
      <c r="AB116" s="183">
        <v>29</v>
      </c>
      <c r="AC116" s="184">
        <v>30</v>
      </c>
      <c r="AD116" s="44"/>
    </row>
    <row r="117" spans="1:30" x14ac:dyDescent="0.25">
      <c r="A117" s="1">
        <v>43298</v>
      </c>
      <c r="B117" t="s">
        <v>6</v>
      </c>
      <c r="C117" s="115" t="s">
        <v>5</v>
      </c>
      <c r="D117" s="127" t="s">
        <v>128</v>
      </c>
      <c r="E117" s="98">
        <v>3.5</v>
      </c>
      <c r="F117" s="85">
        <v>2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164</v>
      </c>
      <c r="L117">
        <v>5</v>
      </c>
      <c r="M117" s="40">
        <v>300000</v>
      </c>
      <c r="O117" s="40"/>
      <c r="P117" s="39">
        <f t="shared" si="14"/>
        <v>100000000000000</v>
      </c>
      <c r="Q117" s="57"/>
      <c r="R117" s="5">
        <v>9.5</v>
      </c>
      <c r="S117" s="5">
        <v>8.1</v>
      </c>
      <c r="T117" s="128">
        <v>1.3</v>
      </c>
      <c r="U117" s="132">
        <f>(((Table5[[#This Row],[Watts Active]]*Power_On_Hours_Year/1000)*Active_Duty_Cycle)+((Table5[[#This Row],[Watts Idle]]*Power_On_Hours_Year/1000)*(100%-Active_Duty_Cycle)))*CostPerKWH</f>
        <v>9.1821336000000002</v>
      </c>
      <c r="V117" s="166">
        <f>Table5[Energy$year]/Table5[[#This Row],[SizTB]]</f>
        <v>4.5910668000000001</v>
      </c>
      <c r="W117" s="165">
        <v>114.99</v>
      </c>
      <c r="X117" s="6">
        <f>Table5[[#This Row],[Cost]]/Table5[[#This Row],[SizTB]]*Exchange_Rate</f>
        <v>57.494999999999997</v>
      </c>
      <c r="Y117" s="170">
        <f>Table5[[#This Row],[Cost]]+((CompareWarrYrs-Table5[[#This Row],[S]])*(Incremental_Warr_Yr*Table5[[#This Row],[Cost]]))*Exchange_Rate</f>
        <v>114.99</v>
      </c>
      <c r="Z117" s="6">
        <f>Table5[[#This Row],[$+Warr]]/Table5[[#This Row],[SizTB]]</f>
        <v>57.494999999999997</v>
      </c>
      <c r="AA117" s="6">
        <f>Table5[[#This Row],[$PerTB]]/CompareWarrYrs</f>
        <v>11.498999999999999</v>
      </c>
      <c r="AB117" s="183">
        <v>29</v>
      </c>
      <c r="AC117" s="184">
        <v>34</v>
      </c>
      <c r="AD117" s="44"/>
    </row>
    <row r="118" spans="1:30" x14ac:dyDescent="0.25">
      <c r="A118" s="1">
        <v>43298</v>
      </c>
      <c r="B118" t="s">
        <v>6</v>
      </c>
      <c r="C118" s="115" t="s">
        <v>5</v>
      </c>
      <c r="D118" s="127" t="s">
        <v>128</v>
      </c>
      <c r="E118" s="98">
        <v>3.5</v>
      </c>
      <c r="F118" s="85">
        <v>4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202</v>
      </c>
      <c r="L118">
        <v>5</v>
      </c>
      <c r="M118" s="40">
        <v>300000</v>
      </c>
      <c r="O118" s="40"/>
      <c r="P118" s="39">
        <f t="shared" si="14"/>
        <v>100000000000000</v>
      </c>
      <c r="Q118" s="57"/>
      <c r="R118" s="5">
        <v>9.1</v>
      </c>
      <c r="S118" s="5">
        <v>5.8</v>
      </c>
      <c r="T118" s="128">
        <v>1</v>
      </c>
      <c r="U118" s="132">
        <f>(((Table5[[#This Row],[Watts Active]]*Power_On_Hours_Year/1000)*Active_Duty_Cycle)+((Table5[[#This Row],[Watts Idle]]*Power_On_Hours_Year/1000)*(100%-Active_Duty_Cycle)))*CostPerKWH</f>
        <v>7.0783512000000002</v>
      </c>
      <c r="V118" s="166">
        <f>Table5[Energy$year]/Table5[[#This Row],[SizTB]]</f>
        <v>1.7695878</v>
      </c>
      <c r="W118" s="165">
        <v>182.99</v>
      </c>
      <c r="X118" s="6">
        <f>Table5[[#This Row],[Cost]]/Table5[[#This Row],[SizTB]]*Exchange_Rate</f>
        <v>45.747500000000002</v>
      </c>
      <c r="Y118" s="170">
        <f>Table5[[#This Row],[Cost]]+((CompareWarrYrs-Table5[[#This Row],[S]])*(Incremental_Warr_Yr*Table5[[#This Row],[Cost]]))*Exchange_Rate</f>
        <v>182.99</v>
      </c>
      <c r="Z118" s="6">
        <f>Table5[[#This Row],[$+Warr]]/Table5[[#This Row],[SizTB]]</f>
        <v>45.747500000000002</v>
      </c>
      <c r="AA118" s="6">
        <f>Table5[[#This Row],[$PerTB]]/CompareWarrYrs</f>
        <v>9.1494999999999997</v>
      </c>
      <c r="AB118" s="183">
        <v>29</v>
      </c>
      <c r="AC118" s="184">
        <v>36</v>
      </c>
      <c r="AD118" s="44"/>
    </row>
    <row r="119" spans="1:30" x14ac:dyDescent="0.25">
      <c r="A119" s="1">
        <v>43298</v>
      </c>
      <c r="B119" t="s">
        <v>6</v>
      </c>
      <c r="C119" s="115" t="s">
        <v>5</v>
      </c>
      <c r="D119" s="127" t="s">
        <v>128</v>
      </c>
      <c r="E119" s="98">
        <v>3.5</v>
      </c>
      <c r="F119" s="85">
        <v>6</v>
      </c>
      <c r="G119" s="46">
        <v>7200</v>
      </c>
      <c r="H119" s="5"/>
      <c r="I119" s="5"/>
      <c r="J119" s="65">
        <f>(Table5[[#This Row],[RPM]]/5400-1)</f>
        <v>0.33333333333333326</v>
      </c>
      <c r="K119" s="49">
        <v>227</v>
      </c>
      <c r="L119">
        <v>5</v>
      </c>
      <c r="M119" s="40">
        <v>300000</v>
      </c>
      <c r="O119" s="40"/>
      <c r="P119" s="39">
        <f t="shared" si="14"/>
        <v>100000000000000</v>
      </c>
      <c r="Q119" s="57"/>
      <c r="R119" s="5">
        <v>9.1</v>
      </c>
      <c r="S119" s="5">
        <v>7.1</v>
      </c>
      <c r="T119" s="128">
        <v>1</v>
      </c>
      <c r="U119" s="132">
        <f>(((Table5[[#This Row],[Watts Active]]*Power_On_Hours_Year/1000)*Active_Duty_Cycle)+((Table5[[#This Row],[Watts Idle]]*Power_On_Hours_Year/1000)*(100%-Active_Duty_Cycle)))*CostPerKWH</f>
        <v>8.2179000000000002</v>
      </c>
      <c r="V119" s="166">
        <f>Table5[Energy$year]/Table5[[#This Row],[SizTB]]</f>
        <v>1.36965</v>
      </c>
      <c r="W119" s="165">
        <v>247.37</v>
      </c>
      <c r="X119" s="6">
        <f>Table5[[#This Row],[Cost]]/Table5[[#This Row],[SizTB]]*Exchange_Rate</f>
        <v>41.228333333333332</v>
      </c>
      <c r="Y119" s="170">
        <f>Table5[[#This Row],[Cost]]+((CompareWarrYrs-Table5[[#This Row],[S]])*(Incremental_Warr_Yr*Table5[[#This Row],[Cost]]))*Exchange_Rate</f>
        <v>247.37</v>
      </c>
      <c r="Z119" s="6">
        <f>Table5[[#This Row],[$+Warr]]/Table5[[#This Row],[SizTB]]</f>
        <v>41.228333333333332</v>
      </c>
      <c r="AA119" s="6">
        <f>Table5[[#This Row],[$PerTB]]/CompareWarrYrs</f>
        <v>8.2456666666666667</v>
      </c>
      <c r="AB119" s="183">
        <v>29</v>
      </c>
      <c r="AC119" s="184">
        <v>36</v>
      </c>
      <c r="AD119" s="44"/>
    </row>
    <row r="120" spans="1:30" x14ac:dyDescent="0.25">
      <c r="A120" s="1">
        <v>43284</v>
      </c>
      <c r="B120" t="s">
        <v>6</v>
      </c>
      <c r="C120" s="115" t="s">
        <v>27</v>
      </c>
      <c r="D120" s="127" t="s">
        <v>127</v>
      </c>
      <c r="E120" s="98">
        <v>2.5</v>
      </c>
      <c r="F120" s="85">
        <v>1</v>
      </c>
      <c r="G120" s="46">
        <v>5400</v>
      </c>
      <c r="H120" s="5"/>
      <c r="I120" s="5"/>
      <c r="J120" s="65">
        <f>(Table5[[#This Row],[RPM]]/5400-1)</f>
        <v>0</v>
      </c>
      <c r="K120" s="49"/>
      <c r="L120">
        <v>2</v>
      </c>
      <c r="M120" s="40">
        <v>600000</v>
      </c>
      <c r="O120" s="40"/>
      <c r="P120" s="39">
        <f t="shared" ref="P120:P126" si="15">10^14</f>
        <v>100000000000000</v>
      </c>
      <c r="Q120" s="57">
        <v>5</v>
      </c>
      <c r="R120" s="5">
        <v>1.5</v>
      </c>
      <c r="S120" s="5">
        <v>0.5</v>
      </c>
      <c r="T120" s="128">
        <v>0.1</v>
      </c>
      <c r="U120" s="132">
        <f>(((Table5[[#This Row],[Watts Active]]*Power_On_Hours_Year/1000)*Active_Duty_Cycle)+((Table5[[#This Row],[Watts Idle]]*Power_On_Hours_Year/1000)*(100%-Active_Duty_Cycle)))*CostPerKWH</f>
        <v>0.76700400000000002</v>
      </c>
      <c r="V120" s="166">
        <f>Table5[Energy$year]/Table5[[#This Row],[SizTB]]</f>
        <v>0.76700400000000002</v>
      </c>
      <c r="W120" s="165">
        <v>44.99</v>
      </c>
      <c r="X120" s="6">
        <f>Table5[[#This Row],[Cost]]/Table5[[#This Row],[SizTB]]*Exchange_Rate</f>
        <v>44.99</v>
      </c>
      <c r="Y120" s="170">
        <f>Table5[[#This Row],[Cost]]+((CompareWarrYrs-Table5[[#This Row],[S]])*(Incremental_Warr_Yr*Table5[[#This Row],[Cost]]))*Exchange_Rate</f>
        <v>59.8367</v>
      </c>
      <c r="Z120" s="6">
        <f>Table5[[#This Row],[$+Warr]]/Table5[[#This Row],[SizTB]]</f>
        <v>59.8367</v>
      </c>
      <c r="AA120" s="6">
        <f>Table5[[#This Row],[$PerTB]]/CompareWarrYrs</f>
        <v>11.96734</v>
      </c>
      <c r="AB120" s="183"/>
      <c r="AC120" s="184"/>
      <c r="AD120" s="44"/>
    </row>
    <row r="121" spans="1:30" x14ac:dyDescent="0.25">
      <c r="A121" s="1">
        <v>43114</v>
      </c>
      <c r="B121" t="s">
        <v>6</v>
      </c>
      <c r="C121" s="115" t="s">
        <v>27</v>
      </c>
      <c r="D121" s="127" t="s">
        <v>127</v>
      </c>
      <c r="E121" s="98">
        <v>2.5</v>
      </c>
      <c r="F121" s="85">
        <v>2</v>
      </c>
      <c r="G121" s="46">
        <v>5400</v>
      </c>
      <c r="H121" s="5"/>
      <c r="I121" s="5"/>
      <c r="J121" s="65">
        <f>(Table5[[#This Row],[RPM]]/5400-1)</f>
        <v>0</v>
      </c>
      <c r="K121" s="49"/>
      <c r="L121">
        <v>2</v>
      </c>
      <c r="M121" s="40">
        <v>600000</v>
      </c>
      <c r="O121" s="40"/>
      <c r="P121" s="39">
        <f t="shared" si="15"/>
        <v>100000000000000</v>
      </c>
      <c r="Q121" s="57">
        <v>5</v>
      </c>
      <c r="R121" s="5">
        <v>1.7</v>
      </c>
      <c r="S121" s="5">
        <v>0.8</v>
      </c>
      <c r="T121" s="128">
        <v>0.2</v>
      </c>
      <c r="U121" s="132">
        <f>(((Table5[[#This Row],[Watts Active]]*Power_On_Hours_Year/1000)*Active_Duty_Cycle)+((Table5[[#This Row],[Watts Idle]]*Power_On_Hours_Year/1000)*(100%-Active_Duty_Cycle)))*CostPerKWH</f>
        <v>1.0738056</v>
      </c>
      <c r="V121" s="166">
        <f>Table5[Energy$year]/Table5[[#This Row],[SizTB]]</f>
        <v>0.53690280000000001</v>
      </c>
      <c r="W121" s="165">
        <v>136.25</v>
      </c>
      <c r="X121" s="6">
        <f>Table5[[#This Row],[Cost]]/Table5[[#This Row],[SizTB]]*Exchange_Rate</f>
        <v>68.125</v>
      </c>
      <c r="Y121" s="170">
        <f>Table5[[#This Row],[Cost]]+((CompareWarrYrs-Table5[[#This Row],[S]])*(Incremental_Warr_Yr*Table5[[#This Row],[Cost]]))*Exchange_Rate</f>
        <v>181.21250000000001</v>
      </c>
      <c r="Z121" s="6">
        <f>Table5[[#This Row],[$+Warr]]/Table5[[#This Row],[SizTB]]</f>
        <v>90.606250000000003</v>
      </c>
      <c r="AA121" s="6">
        <f>Table5[[#This Row],[$PerTB]]/CompareWarrYrs</f>
        <v>18.12125</v>
      </c>
      <c r="AB121" s="183"/>
      <c r="AC121" s="184"/>
      <c r="AD121" s="44"/>
    </row>
    <row r="122" spans="1:30" x14ac:dyDescent="0.25">
      <c r="A122" s="1">
        <v>43298</v>
      </c>
      <c r="B122" t="s">
        <v>6</v>
      </c>
      <c r="C122" s="115" t="s">
        <v>27</v>
      </c>
      <c r="D122" s="127" t="s">
        <v>128</v>
      </c>
      <c r="E122" s="98">
        <v>3.5</v>
      </c>
      <c r="F122" s="85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2</v>
      </c>
      <c r="M122" s="40">
        <v>300000</v>
      </c>
      <c r="O122" s="40"/>
      <c r="P122" s="39">
        <f t="shared" si="15"/>
        <v>100000000000000</v>
      </c>
      <c r="Q122" s="57"/>
      <c r="R122" s="5">
        <v>3.3</v>
      </c>
      <c r="S122" s="5">
        <v>2.5</v>
      </c>
      <c r="T122" s="128">
        <v>0.4</v>
      </c>
      <c r="U122" s="132">
        <f>(((Table5[[#This Row],[Watts Active]]*Power_On_Hours_Year/1000)*Active_Duty_Cycle)+((Table5[[#This Row],[Watts Idle]]*Power_On_Hours_Year/1000)*(100%-Active_Duty_Cycle)))*CostPerKWH</f>
        <v>2.9146152000000001</v>
      </c>
      <c r="V122" s="166">
        <f>Table5[Energy$year]/Table5[[#This Row],[SizTB]]</f>
        <v>2.9146152000000001</v>
      </c>
      <c r="W122" s="165">
        <v>43.5</v>
      </c>
      <c r="X122" s="6">
        <f>Table5[[#This Row],[Cost]]/Table5[[#This Row],[SizTB]]*Exchange_Rate</f>
        <v>43.5</v>
      </c>
      <c r="Y122" s="170">
        <f>Table5[[#This Row],[Cost]]+((CompareWarrYrs-Table5[[#This Row],[S]])*(Incremental_Warr_Yr*Table5[[#This Row],[Cost]]))*Exchange_Rate</f>
        <v>57.855000000000004</v>
      </c>
      <c r="Z122" s="6">
        <f>Table5[[#This Row],[$+Warr]]/Table5[[#This Row],[SizTB]]</f>
        <v>57.855000000000004</v>
      </c>
      <c r="AA122" s="6">
        <f>Table5[[#This Row],[$PerTB]]/CompareWarrYrs</f>
        <v>11.571000000000002</v>
      </c>
      <c r="AB122" s="183">
        <v>21</v>
      </c>
      <c r="AC122" s="184">
        <v>24</v>
      </c>
      <c r="AD122" s="44"/>
    </row>
    <row r="123" spans="1:30" x14ac:dyDescent="0.25">
      <c r="A123" s="1">
        <v>43298</v>
      </c>
      <c r="B123" t="s">
        <v>6</v>
      </c>
      <c r="C123" s="115" t="s">
        <v>27</v>
      </c>
      <c r="D123" s="127" t="s">
        <v>128</v>
      </c>
      <c r="E123" s="98">
        <v>3.5</v>
      </c>
      <c r="F123" s="85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2</v>
      </c>
      <c r="M123" s="40">
        <v>300000</v>
      </c>
      <c r="O123" s="40"/>
      <c r="P123" s="39">
        <f t="shared" si="15"/>
        <v>100000000000000</v>
      </c>
      <c r="Q123" s="57">
        <f>12*1.73</f>
        <v>20.759999999999998</v>
      </c>
      <c r="R123" s="5">
        <v>4.0999999999999996</v>
      </c>
      <c r="S123" s="5">
        <v>3</v>
      </c>
      <c r="T123" s="128">
        <v>0.4</v>
      </c>
      <c r="U123" s="132">
        <f>(((Table5[[#This Row],[Watts Active]]*Power_On_Hours_Year/1000)*Active_Duty_Cycle)+((Table5[[#This Row],[Watts Idle]]*Power_On_Hours_Year/1000)*(100%-Active_Duty_Cycle)))*CostPerKWH</f>
        <v>3.5282184000000001</v>
      </c>
      <c r="V123" s="166">
        <f>Table5[Energy$year]/Table5[[#This Row],[SizTB]]</f>
        <v>1.7641092</v>
      </c>
      <c r="W123" s="165">
        <v>53.99</v>
      </c>
      <c r="X123" s="6">
        <f>Table5[[#This Row],[Cost]]/Table5[[#This Row],[SizTB]]*Exchange_Rate</f>
        <v>26.995000000000001</v>
      </c>
      <c r="Y123" s="170">
        <f>Table5[[#This Row],[Cost]]+((CompareWarrYrs-Table5[[#This Row],[S]])*(Incremental_Warr_Yr*Table5[[#This Row],[Cost]]))*Exchange_Rate</f>
        <v>71.806700000000006</v>
      </c>
      <c r="Z123" s="6">
        <f>Table5[[#This Row],[$+Warr]]/Table5[[#This Row],[SizTB]]</f>
        <v>35.903350000000003</v>
      </c>
      <c r="AA123" s="6">
        <f>Table5[[#This Row],[$PerTB]]/CompareWarrYrs</f>
        <v>7.180670000000001</v>
      </c>
      <c r="AB123" s="183">
        <v>23</v>
      </c>
      <c r="AC123" s="184">
        <v>27</v>
      </c>
      <c r="AD123" s="44"/>
    </row>
    <row r="124" spans="1:30" x14ac:dyDescent="0.25">
      <c r="A124" s="1">
        <v>43298</v>
      </c>
      <c r="B124" t="s">
        <v>6</v>
      </c>
      <c r="C124" s="115" t="s">
        <v>27</v>
      </c>
      <c r="D124" s="127" t="s">
        <v>128</v>
      </c>
      <c r="E124" s="98">
        <v>3.5</v>
      </c>
      <c r="F124" s="85">
        <v>3</v>
      </c>
      <c r="G124" s="46">
        <v>5400</v>
      </c>
      <c r="H124" s="5"/>
      <c r="I124" s="5"/>
      <c r="J124" s="65">
        <f>(Table5[[#This Row],[RPM]]/5400-1)</f>
        <v>0</v>
      </c>
      <c r="K124" s="49">
        <v>147</v>
      </c>
      <c r="L124">
        <v>2</v>
      </c>
      <c r="M124" s="40">
        <v>300000</v>
      </c>
      <c r="O124" s="40"/>
      <c r="P124" s="39">
        <f t="shared" si="15"/>
        <v>100000000000000</v>
      </c>
      <c r="Q124" s="57">
        <f>12*1.73</f>
        <v>20.759999999999998</v>
      </c>
      <c r="R124" s="5">
        <v>4.0999999999999996</v>
      </c>
      <c r="S124" s="5">
        <v>3</v>
      </c>
      <c r="T124" s="128">
        <v>0.4</v>
      </c>
      <c r="U124" s="132">
        <f>(((Table5[[#This Row],[Watts Active]]*Power_On_Hours_Year/1000)*Active_Duty_Cycle)+((Table5[[#This Row],[Watts Idle]]*Power_On_Hours_Year/1000)*(100%-Active_Duty_Cycle)))*CostPerKWH</f>
        <v>3.5282184000000001</v>
      </c>
      <c r="V124" s="166">
        <f>Table5[Energy$year]/Table5[[#This Row],[SizTB]]</f>
        <v>1.1760728</v>
      </c>
      <c r="W124" s="165">
        <v>91.99</v>
      </c>
      <c r="X124" s="6">
        <f>Table5[[#This Row],[Cost]]/Table5[[#This Row],[SizTB]]*Exchange_Rate</f>
        <v>30.66333333333333</v>
      </c>
      <c r="Y124" s="170">
        <f>Table5[[#This Row],[Cost]]+((CompareWarrYrs-Table5[[#This Row],[S]])*(Incremental_Warr_Yr*Table5[[#This Row],[Cost]]))*Exchange_Rate</f>
        <v>122.3467</v>
      </c>
      <c r="Z124" s="6">
        <f>Table5[[#This Row],[$+Warr]]/Table5[[#This Row],[SizTB]]</f>
        <v>40.78223333333333</v>
      </c>
      <c r="AA124" s="6">
        <f>Table5[[#This Row],[$PerTB]]/CompareWarrYrs</f>
        <v>8.1564466666666657</v>
      </c>
      <c r="AB124" s="183">
        <v>23</v>
      </c>
      <c r="AC124" s="184">
        <v>27</v>
      </c>
      <c r="AD124" s="44"/>
    </row>
    <row r="125" spans="1:30" x14ac:dyDescent="0.25">
      <c r="A125" s="1">
        <v>43298</v>
      </c>
      <c r="B125" t="s">
        <v>6</v>
      </c>
      <c r="C125" s="115" t="s">
        <v>27</v>
      </c>
      <c r="D125" s="127" t="s">
        <v>128</v>
      </c>
      <c r="E125" s="98">
        <v>3.5</v>
      </c>
      <c r="F125" s="85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2</v>
      </c>
      <c r="M125" s="40">
        <v>300000</v>
      </c>
      <c r="O125" s="40"/>
      <c r="P125" s="39">
        <f t="shared" si="15"/>
        <v>100000000000000</v>
      </c>
      <c r="Q125" s="57">
        <f>12*1.75</f>
        <v>21</v>
      </c>
      <c r="R125" s="5">
        <v>5.3</v>
      </c>
      <c r="S125" s="5">
        <v>3.4</v>
      </c>
      <c r="T125" s="128">
        <v>0.4</v>
      </c>
      <c r="U125" s="132">
        <f>(((Table5[[#This Row],[Watts Active]]*Power_On_Hours_Year/1000)*Active_Duty_Cycle)+((Table5[[#This Row],[Watts Idle]]*Power_On_Hours_Year/1000)*(100%-Active_Duty_Cycle)))*CostPerKWH</f>
        <v>4.1418216000000001</v>
      </c>
      <c r="V125" s="166">
        <f>Table5[Energy$year]/Table5[[#This Row],[SizTB]]</f>
        <v>1.0354554</v>
      </c>
      <c r="W125" s="165">
        <v>104.99</v>
      </c>
      <c r="X125" s="6">
        <f>Table5[[#This Row],[Cost]]/Table5[[#This Row],[SizTB]]*Exchange_Rate</f>
        <v>26.247499999999999</v>
      </c>
      <c r="Y125" s="170">
        <f>Table5[[#This Row],[Cost]]+((CompareWarrYrs-Table5[[#This Row],[S]])*(Incremental_Warr_Yr*Table5[[#This Row],[Cost]]))*Exchange_Rate</f>
        <v>139.63669999999999</v>
      </c>
      <c r="Z125" s="6">
        <f>Table5[[#This Row],[$+Warr]]/Table5[[#This Row],[SizTB]]</f>
        <v>34.909174999999998</v>
      </c>
      <c r="AA125" s="6">
        <f>Table5[[#This Row],[$PerTB]]/CompareWarrYrs</f>
        <v>6.9818349999999993</v>
      </c>
      <c r="AB125" s="183">
        <v>25</v>
      </c>
      <c r="AC125" s="184">
        <v>28</v>
      </c>
      <c r="AD125" s="44"/>
    </row>
    <row r="126" spans="1:30" x14ac:dyDescent="0.25">
      <c r="A126" s="1">
        <v>43298</v>
      </c>
      <c r="B126" t="s">
        <v>6</v>
      </c>
      <c r="C126" s="115" t="s">
        <v>27</v>
      </c>
      <c r="D126" s="127" t="s">
        <v>128</v>
      </c>
      <c r="E126" s="98">
        <v>3.5</v>
      </c>
      <c r="F126" s="85">
        <v>6</v>
      </c>
      <c r="G126" s="46">
        <v>5400</v>
      </c>
      <c r="H126" s="5"/>
      <c r="I126" s="5"/>
      <c r="J126" s="65">
        <f>(Table5[[#This Row],[RPM]]/5400-1)</f>
        <v>0</v>
      </c>
      <c r="K126" s="49">
        <v>175</v>
      </c>
      <c r="L126">
        <v>2</v>
      </c>
      <c r="M126" s="40">
        <v>300000</v>
      </c>
      <c r="O126" s="40"/>
      <c r="P126" s="39">
        <f t="shared" si="15"/>
        <v>100000000000000</v>
      </c>
      <c r="Q126" s="57">
        <f>12*1.75</f>
        <v>21</v>
      </c>
      <c r="R126" s="5">
        <v>5.3</v>
      </c>
      <c r="S126" s="5">
        <v>3.4</v>
      </c>
      <c r="T126" s="128">
        <v>0.4</v>
      </c>
      <c r="U126" s="132">
        <f>(((Table5[[#This Row],[Watts Active]]*Power_On_Hours_Year/1000)*Active_Duty_Cycle)+((Table5[[#This Row],[Watts Idle]]*Power_On_Hours_Year/1000)*(100%-Active_Duty_Cycle)))*CostPerKWH</f>
        <v>4.1418216000000001</v>
      </c>
      <c r="V126" s="166">
        <f>Table5[Energy$year]/Table5[[#This Row],[SizTB]]</f>
        <v>0.69030360000000002</v>
      </c>
      <c r="W126" s="165">
        <v>176.99</v>
      </c>
      <c r="X126" s="6">
        <f>Table5[[#This Row],[Cost]]/Table5[[#This Row],[SizTB]]*Exchange_Rate</f>
        <v>29.498333333333335</v>
      </c>
      <c r="Y126" s="170">
        <f>Table5[[#This Row],[Cost]]+((CompareWarrYrs-Table5[[#This Row],[S]])*(Incremental_Warr_Yr*Table5[[#This Row],[Cost]]))*Exchange_Rate</f>
        <v>235.39670000000001</v>
      </c>
      <c r="Z126" s="6">
        <f>Table5[[#This Row],[$+Warr]]/Table5[[#This Row],[SizTB]]</f>
        <v>39.232783333333337</v>
      </c>
      <c r="AA126" s="6">
        <f>Table5[[#This Row],[$PerTB]]/CompareWarrYrs</f>
        <v>7.8465566666666673</v>
      </c>
      <c r="AB126" s="183">
        <v>25</v>
      </c>
      <c r="AC126" s="184">
        <v>28</v>
      </c>
      <c r="AD126" s="44"/>
    </row>
    <row r="127" spans="1:30" x14ac:dyDescent="0.25">
      <c r="A127" s="1">
        <v>43298</v>
      </c>
      <c r="B127" t="s">
        <v>6</v>
      </c>
      <c r="C127" s="115" t="s">
        <v>57</v>
      </c>
      <c r="D127" s="31" t="s">
        <v>49</v>
      </c>
      <c r="E127" s="98">
        <v>3.5</v>
      </c>
      <c r="F127" s="85">
        <v>1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184</v>
      </c>
      <c r="L127">
        <v>5</v>
      </c>
      <c r="M127" s="40">
        <v>600000</v>
      </c>
      <c r="N127">
        <v>550</v>
      </c>
      <c r="O127" s="40">
        <v>2000000</v>
      </c>
      <c r="P127" s="39">
        <v>1000000000000000</v>
      </c>
      <c r="Q127" s="57"/>
      <c r="R127" s="5">
        <v>8.1</v>
      </c>
      <c r="S127" s="5">
        <v>5.9</v>
      </c>
      <c r="T127" s="128"/>
      <c r="U127" s="132">
        <f>(((Table5[[#This Row],[Watts Active]]*Power_On_Hours_Year/1000)*Active_Duty_Cycle)+((Table5[[#This Row],[Watts Idle]]*Power_On_Hours_Year/1000)*(100%-Active_Duty_Cycle)))*CostPerKWH</f>
        <v>6.9468648000000002</v>
      </c>
      <c r="V127" s="166">
        <f>Table5[Energy$year]/Table5[[#This Row],[SizTB]]</f>
        <v>6.9468648000000002</v>
      </c>
      <c r="W127" s="165">
        <v>81.69</v>
      </c>
      <c r="X127" s="6">
        <f>Table5[[#This Row],[Cost]]/Table5[[#This Row],[SizTB]]*Exchange_Rate</f>
        <v>81.69</v>
      </c>
      <c r="Y127" s="170">
        <f>Table5[[#This Row],[Cost]]+((CompareWarrYrs-Table5[[#This Row],[S]])*(Incremental_Warr_Yr*Table5[[#This Row],[Cost]]))*Exchange_Rate</f>
        <v>81.69</v>
      </c>
      <c r="Z127" s="6">
        <f>Table5[[#This Row],[$+Warr]]/Table5[[#This Row],[SizTB]]</f>
        <v>81.69</v>
      </c>
      <c r="AA127" s="6">
        <f>Table5[[#This Row],[$PerTB]]/CompareWarrYrs</f>
        <v>16.338000000000001</v>
      </c>
      <c r="AB127" s="183">
        <v>25</v>
      </c>
      <c r="AC127" s="184">
        <v>28</v>
      </c>
      <c r="AD127" s="44"/>
    </row>
    <row r="128" spans="1:30" x14ac:dyDescent="0.25">
      <c r="A128" s="1">
        <v>43298</v>
      </c>
      <c r="B128" t="s">
        <v>6</v>
      </c>
      <c r="C128" s="115" t="s">
        <v>57</v>
      </c>
      <c r="D128" s="31" t="s">
        <v>49</v>
      </c>
      <c r="E128" s="98">
        <v>3.5</v>
      </c>
      <c r="F128" s="85">
        <v>2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200</v>
      </c>
      <c r="L128">
        <v>5</v>
      </c>
      <c r="M128" s="40">
        <v>600000</v>
      </c>
      <c r="N128">
        <v>550</v>
      </c>
      <c r="O128" s="40">
        <v>2000000</v>
      </c>
      <c r="P128" s="39">
        <v>1000000000000000</v>
      </c>
      <c r="Q128" s="57"/>
      <c r="R128" s="5">
        <v>8.1</v>
      </c>
      <c r="S128" s="5">
        <v>5.9</v>
      </c>
      <c r="T128" s="128"/>
      <c r="U128" s="132">
        <f>(((Table5[[#This Row],[Watts Active]]*Power_On_Hours_Year/1000)*Active_Duty_Cycle)+((Table5[[#This Row],[Watts Idle]]*Power_On_Hours_Year/1000)*(100%-Active_Duty_Cycle)))*CostPerKWH</f>
        <v>6.9468648000000002</v>
      </c>
      <c r="V128" s="166">
        <f>Table5[Energy$year]/Table5[[#This Row],[SizTB]]</f>
        <v>3.4734324000000001</v>
      </c>
      <c r="W128" s="165">
        <v>119</v>
      </c>
      <c r="X128" s="6">
        <f>Table5[[#This Row],[Cost]]/Table5[[#This Row],[SizTB]]*Exchange_Rate</f>
        <v>59.5</v>
      </c>
      <c r="Y128" s="170">
        <f>Table5[[#This Row],[Cost]]+((CompareWarrYrs-Table5[[#This Row],[S]])*(Incremental_Warr_Yr*Table5[[#This Row],[Cost]]))*Exchange_Rate</f>
        <v>119</v>
      </c>
      <c r="Z128" s="6">
        <f>Table5[[#This Row],[$+Warr]]/Table5[[#This Row],[SizTB]]</f>
        <v>59.5</v>
      </c>
      <c r="AA128" s="6">
        <f>Table5[[#This Row],[$PerTB]]/CompareWarrYrs</f>
        <v>11.9</v>
      </c>
      <c r="AB128" s="183">
        <v>25</v>
      </c>
      <c r="AC128" s="184">
        <v>28</v>
      </c>
      <c r="AD128" s="44"/>
    </row>
    <row r="129" spans="1:30" x14ac:dyDescent="0.25">
      <c r="A129" s="1">
        <v>43298</v>
      </c>
      <c r="B129" t="s">
        <v>6</v>
      </c>
      <c r="C129" s="115" t="s">
        <v>57</v>
      </c>
      <c r="D129" s="31" t="s">
        <v>49</v>
      </c>
      <c r="E129" s="98">
        <v>3.5</v>
      </c>
      <c r="F129" s="85">
        <v>4</v>
      </c>
      <c r="G129" s="46">
        <v>7200</v>
      </c>
      <c r="H129" s="5"/>
      <c r="I129" s="5"/>
      <c r="J129" s="65">
        <f>(Table5[[#This Row],[RPM]]/5400-1)</f>
        <v>0.33333333333333326</v>
      </c>
      <c r="K129" s="49">
        <v>201</v>
      </c>
      <c r="L129">
        <v>5</v>
      </c>
      <c r="M129" s="40">
        <v>600000</v>
      </c>
      <c r="N129">
        <v>550</v>
      </c>
      <c r="O129" s="40">
        <v>2000000</v>
      </c>
      <c r="P129" s="39">
        <v>1000000000000000</v>
      </c>
      <c r="Q129" s="57"/>
      <c r="R129" s="5">
        <v>9</v>
      </c>
      <c r="S129" s="5">
        <v>7</v>
      </c>
      <c r="T129" s="128"/>
      <c r="U129" s="132">
        <f>(((Table5[[#This Row],[Watts Active]]*Power_On_Hours_Year/1000)*Active_Duty_Cycle)+((Table5[[#This Row],[Watts Idle]]*Power_On_Hours_Year/1000)*(100%-Active_Duty_Cycle)))*CostPerKWH</f>
        <v>8.1083280000000002</v>
      </c>
      <c r="V129" s="166">
        <f>Table5[Energy$year]/Table5[[#This Row],[SizTB]]</f>
        <v>2.0270820000000001</v>
      </c>
      <c r="W129" s="165">
        <v>174.99</v>
      </c>
      <c r="X129" s="6">
        <f>Table5[[#This Row],[Cost]]/Table5[[#This Row],[SizTB]]*Exchange_Rate</f>
        <v>43.747500000000002</v>
      </c>
      <c r="Y129" s="170">
        <f>Table5[[#This Row],[Cost]]+((CompareWarrYrs-Table5[[#This Row],[S]])*(Incremental_Warr_Yr*Table5[[#This Row],[Cost]]))*Exchange_Rate</f>
        <v>174.99</v>
      </c>
      <c r="Z129" s="6">
        <f>Table5[[#This Row],[$+Warr]]/Table5[[#This Row],[SizTB]]</f>
        <v>43.747500000000002</v>
      </c>
      <c r="AA129" s="6">
        <f>Table5[[#This Row],[$PerTB]]/CompareWarrYrs</f>
        <v>8.7495000000000012</v>
      </c>
      <c r="AB129" s="183">
        <v>29</v>
      </c>
      <c r="AC129" s="184">
        <v>36</v>
      </c>
      <c r="AD129" s="122"/>
    </row>
    <row r="130" spans="1:30" x14ac:dyDescent="0.25">
      <c r="A130" s="1">
        <v>43298</v>
      </c>
      <c r="B130" t="s">
        <v>6</v>
      </c>
      <c r="C130" s="115" t="s">
        <v>57</v>
      </c>
      <c r="D130" s="31" t="s">
        <v>49</v>
      </c>
      <c r="E130" s="98">
        <v>3.5</v>
      </c>
      <c r="F130" s="85">
        <v>6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226</v>
      </c>
      <c r="L130">
        <v>5</v>
      </c>
      <c r="M130" s="40">
        <v>600000</v>
      </c>
      <c r="N130">
        <v>550</v>
      </c>
      <c r="O130" s="40">
        <v>2000000</v>
      </c>
      <c r="P130" s="39">
        <v>1000000000000000</v>
      </c>
      <c r="Q130" s="57"/>
      <c r="R130" s="5">
        <v>9.3000000000000007</v>
      </c>
      <c r="S130" s="5">
        <v>7.1</v>
      </c>
      <c r="T130" s="128"/>
      <c r="U130" s="132">
        <f>(((Table5[[#This Row],[Watts Active]]*Power_On_Hours_Year/1000)*Active_Duty_Cycle)+((Table5[[#This Row],[Watts Idle]]*Power_On_Hours_Year/1000)*(100%-Active_Duty_Cycle)))*CostPerKWH</f>
        <v>8.2617288000000002</v>
      </c>
      <c r="V130" s="166">
        <f>Table5[Energy$year]/Table5[[#This Row],[SizTB]]</f>
        <v>1.3769548</v>
      </c>
      <c r="W130" s="165">
        <v>234.99</v>
      </c>
      <c r="X130" s="6">
        <f>Table5[[#This Row],[Cost]]/Table5[[#This Row],[SizTB]]*Exchange_Rate</f>
        <v>39.164999999999999</v>
      </c>
      <c r="Y130" s="170">
        <f>Table5[[#This Row],[Cost]]+((CompareWarrYrs-Table5[[#This Row],[S]])*(Incremental_Warr_Yr*Table5[[#This Row],[Cost]]))*Exchange_Rate</f>
        <v>234.99</v>
      </c>
      <c r="Z130" s="6">
        <f>Table5[[#This Row],[$+Warr]]/Table5[[#This Row],[SizTB]]</f>
        <v>39.164999999999999</v>
      </c>
      <c r="AA130" s="6">
        <f>Table5[[#This Row],[$PerTB]]/CompareWarrYrs</f>
        <v>7.8330000000000002</v>
      </c>
      <c r="AB130" s="183">
        <v>29</v>
      </c>
      <c r="AC130" s="184">
        <v>36</v>
      </c>
      <c r="AD130" s="122" t="s">
        <v>117</v>
      </c>
    </row>
    <row r="131" spans="1:30" x14ac:dyDescent="0.25">
      <c r="A131" s="1">
        <v>43298</v>
      </c>
      <c r="B131" t="s">
        <v>6</v>
      </c>
      <c r="C131" s="115" t="s">
        <v>57</v>
      </c>
      <c r="D131" s="31" t="s">
        <v>49</v>
      </c>
      <c r="E131" s="98">
        <v>3.5</v>
      </c>
      <c r="F131" s="85">
        <v>8</v>
      </c>
      <c r="G131" s="46">
        <v>7200</v>
      </c>
      <c r="H131" s="5"/>
      <c r="I131" s="5"/>
      <c r="J131" s="65">
        <f>(Table5[[#This Row],[RPM]]/5400-1)</f>
        <v>0.33333333333333326</v>
      </c>
      <c r="K131" s="49">
        <v>205</v>
      </c>
      <c r="L131">
        <v>5</v>
      </c>
      <c r="M131" s="40">
        <v>600000</v>
      </c>
      <c r="N131">
        <v>550</v>
      </c>
      <c r="O131" s="40">
        <v>2500000</v>
      </c>
      <c r="P131" s="39">
        <v>1000000000000000</v>
      </c>
      <c r="Q131" s="57"/>
      <c r="R131" s="5">
        <v>7.2</v>
      </c>
      <c r="S131" s="5">
        <v>5.0999999999999996</v>
      </c>
      <c r="T131" s="128"/>
      <c r="U131" s="132">
        <f>(((Table5[[#This Row],[Watts Active]]*Power_On_Hours_Year/1000)*Active_Duty_Cycle)+((Table5[[#This Row],[Watts Idle]]*Power_On_Hours_Year/1000)*(100%-Active_Duty_Cycle)))*CostPerKWH</f>
        <v>6.0483743999999993</v>
      </c>
      <c r="V131" s="166">
        <f>Table5[Energy$year]/Table5[[#This Row],[SizTB]]</f>
        <v>0.75604679999999991</v>
      </c>
      <c r="W131" s="165">
        <v>324.89</v>
      </c>
      <c r="X131" s="6">
        <f>Table5[[#This Row],[Cost]]/Table5[[#This Row],[SizTB]]*Exchange_Rate</f>
        <v>40.611249999999998</v>
      </c>
      <c r="Y131" s="170">
        <f>Table5[[#This Row],[Cost]]+((CompareWarrYrs-Table5[[#This Row],[S]])*(Incremental_Warr_Yr*Table5[[#This Row],[Cost]]))*Exchange_Rate</f>
        <v>324.89</v>
      </c>
      <c r="Z131" s="6">
        <f>Table5[[#This Row],[$+Warr]]/Table5[[#This Row],[SizTB]]</f>
        <v>40.611249999999998</v>
      </c>
      <c r="AA131" s="6">
        <f>Table5[[#This Row],[$PerTB]]/CompareWarrYrs</f>
        <v>8.1222499999999993</v>
      </c>
      <c r="AB131" s="183">
        <v>20</v>
      </c>
      <c r="AC131" s="184">
        <v>36</v>
      </c>
      <c r="AD131" s="122" t="s">
        <v>37</v>
      </c>
    </row>
    <row r="132" spans="1:30" x14ac:dyDescent="0.25">
      <c r="A132" s="1">
        <v>43298</v>
      </c>
      <c r="B132" t="s">
        <v>6</v>
      </c>
      <c r="C132" s="115" t="s">
        <v>57</v>
      </c>
      <c r="D132" s="31" t="s">
        <v>49</v>
      </c>
      <c r="E132" s="98">
        <v>3.5</v>
      </c>
      <c r="F132" s="85">
        <v>10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249</v>
      </c>
      <c r="L132">
        <v>5</v>
      </c>
      <c r="M132" s="40">
        <v>600000</v>
      </c>
      <c r="N132">
        <v>550</v>
      </c>
      <c r="O132" s="40">
        <v>2500000</v>
      </c>
      <c r="P132" s="39">
        <v>1000000000000000</v>
      </c>
      <c r="Q132" s="57"/>
      <c r="R132" s="5">
        <v>7.1</v>
      </c>
      <c r="S132" s="5">
        <v>5</v>
      </c>
      <c r="T132" s="128"/>
      <c r="U132" s="132">
        <f>(((Table5[[#This Row],[Watts Active]]*Power_On_Hours_Year/1000)*Active_Duty_Cycle)+((Table5[[#This Row],[Watts Idle]]*Power_On_Hours_Year/1000)*(100%-Active_Duty_Cycle)))*CostPerKWH</f>
        <v>5.9388024000000001</v>
      </c>
      <c r="V132" s="166">
        <f>Table5[Energy$year]/Table5[[#This Row],[SizTB]]</f>
        <v>0.59388024000000006</v>
      </c>
      <c r="W132" s="165">
        <v>384.99</v>
      </c>
      <c r="X132" s="6">
        <f>Table5[[#This Row],[Cost]]/Table5[[#This Row],[SizTB]]*Exchange_Rate</f>
        <v>38.499000000000002</v>
      </c>
      <c r="Y132" s="170">
        <f>Table5[[#This Row],[Cost]]+((CompareWarrYrs-Table5[[#This Row],[S]])*(Incremental_Warr_Yr*Table5[[#This Row],[Cost]]))*Exchange_Rate</f>
        <v>384.99</v>
      </c>
      <c r="Z132" s="6">
        <f>Table5[[#This Row],[$+Warr]]/Table5[[#This Row],[SizTB]]</f>
        <v>38.499000000000002</v>
      </c>
      <c r="AA132" s="6">
        <f>Table5[[#This Row],[$PerTB]]/CompareWarrYrs</f>
        <v>7.6998000000000006</v>
      </c>
      <c r="AB132" s="183">
        <v>20</v>
      </c>
      <c r="AC132" s="184">
        <v>36</v>
      </c>
      <c r="AD132" s="122" t="s">
        <v>37</v>
      </c>
    </row>
    <row r="133" spans="1:30" x14ac:dyDescent="0.25">
      <c r="A133" s="1">
        <v>43298</v>
      </c>
      <c r="B133" t="s">
        <v>6</v>
      </c>
      <c r="C133" s="115" t="s">
        <v>57</v>
      </c>
      <c r="D133" s="31" t="s">
        <v>49</v>
      </c>
      <c r="E133" s="98">
        <v>3.5</v>
      </c>
      <c r="F133" s="85">
        <v>12</v>
      </c>
      <c r="G133" s="46">
        <v>7200</v>
      </c>
      <c r="H133" s="5">
        <v>4.16</v>
      </c>
      <c r="I133" s="5"/>
      <c r="J133" s="65">
        <f>(Table5[[#This Row],[RPM]]/5400-1)</f>
        <v>0.33333333333333326</v>
      </c>
      <c r="K133" s="49">
        <v>255</v>
      </c>
      <c r="L133">
        <v>5</v>
      </c>
      <c r="M133" s="40">
        <v>600000</v>
      </c>
      <c r="N133">
        <v>550</v>
      </c>
      <c r="O133" s="40">
        <v>2500000</v>
      </c>
      <c r="P133" s="39">
        <v>1000000000000000</v>
      </c>
      <c r="Q133" s="57"/>
      <c r="R133" s="5">
        <v>7</v>
      </c>
      <c r="S133" s="5">
        <v>5</v>
      </c>
      <c r="T133" s="128"/>
      <c r="U133" s="132">
        <f>(((Table5[[#This Row],[Watts Active]]*Power_On_Hours_Year/1000)*Active_Duty_Cycle)+((Table5[[#This Row],[Watts Idle]]*Power_On_Hours_Year/1000)*(100%-Active_Duty_Cycle)))*CostPerKWH</f>
        <v>5.9168880000000001</v>
      </c>
      <c r="V133" s="166">
        <f>Table5[Energy$year]/Table5[[#This Row],[SizTB]]</f>
        <v>0.49307400000000001</v>
      </c>
      <c r="W133" s="165">
        <v>499</v>
      </c>
      <c r="X133" s="6">
        <f>Table5[[#This Row],[Cost]]/Table5[[#This Row],[SizTB]]*Exchange_Rate</f>
        <v>41.583333333333336</v>
      </c>
      <c r="Y133" s="170">
        <f>Table5[[#This Row],[Cost]]+((CompareWarrYrs-Table5[[#This Row],[S]])*(Incremental_Warr_Yr*Table5[[#This Row],[Cost]]))*Exchange_Rate</f>
        <v>499</v>
      </c>
      <c r="Z133" s="6">
        <f>Table5[[#This Row],[$+Warr]]/Table5[[#This Row],[SizTB]]</f>
        <v>41.583333333333336</v>
      </c>
      <c r="AA133" s="6">
        <f>Table5[[#This Row],[$PerTB]]/CompareWarrYrs</f>
        <v>8.3166666666666664</v>
      </c>
      <c r="AB133" s="183">
        <v>20</v>
      </c>
      <c r="AC133" s="184">
        <v>36</v>
      </c>
      <c r="AD133" s="122" t="s">
        <v>37</v>
      </c>
    </row>
    <row r="134" spans="1:30" x14ac:dyDescent="0.25">
      <c r="A134" s="1">
        <v>43298</v>
      </c>
      <c r="B134" t="s">
        <v>6</v>
      </c>
      <c r="C134" s="115" t="s">
        <v>55</v>
      </c>
      <c r="D134" s="121" t="s">
        <v>49</v>
      </c>
      <c r="E134" s="98">
        <v>2.5</v>
      </c>
      <c r="F134" s="85">
        <v>0.75</v>
      </c>
      <c r="G134" s="46">
        <v>5400</v>
      </c>
      <c r="H134" s="5"/>
      <c r="I134" s="5"/>
      <c r="J134" s="65">
        <f>(Table5[[#This Row],[RPM]]/5400-1)</f>
        <v>0</v>
      </c>
      <c r="K134" s="49">
        <v>144</v>
      </c>
      <c r="L134">
        <v>3</v>
      </c>
      <c r="M134" s="40">
        <v>600000</v>
      </c>
      <c r="N134">
        <v>180</v>
      </c>
      <c r="O134" s="40">
        <v>1000000</v>
      </c>
      <c r="P134" s="39">
        <f t="shared" ref="P134:P135" si="16">10^14</f>
        <v>100000000000000</v>
      </c>
      <c r="Q134" s="57">
        <v>5</v>
      </c>
      <c r="R134" s="5">
        <v>1.4</v>
      </c>
      <c r="S134" s="5">
        <v>0.6</v>
      </c>
      <c r="T134" s="128">
        <v>0.2</v>
      </c>
      <c r="U134" s="132">
        <f>(((Table5[[#This Row],[Watts Active]]*Power_On_Hours_Year/1000)*Active_Duty_Cycle)+((Table5[[#This Row],[Watts Idle]]*Power_On_Hours_Year/1000)*(100%-Active_Duty_Cycle)))*CostPerKWH</f>
        <v>0.83274720000000002</v>
      </c>
      <c r="V134" s="166">
        <f>Table5[Energy$year]/Table5[[#This Row],[SizTB]]</f>
        <v>1.1103296</v>
      </c>
      <c r="W134" s="165">
        <v>61.97</v>
      </c>
      <c r="X134" s="6">
        <f>Table5[[#This Row],[Cost]]/Table5[[#This Row],[SizTB]]*Exchange_Rate</f>
        <v>82.626666666666665</v>
      </c>
      <c r="Y134" s="170">
        <f>Table5[[#This Row],[Cost]]+((CompareWarrYrs-Table5[[#This Row],[S]])*(Incremental_Warr_Yr*Table5[[#This Row],[Cost]]))*Exchange_Rate</f>
        <v>75.603399999999993</v>
      </c>
      <c r="Z134" s="6">
        <f>Table5[[#This Row],[$+Warr]]/Table5[[#This Row],[SizTB]]</f>
        <v>100.80453333333332</v>
      </c>
      <c r="AA134" s="6">
        <f>Table5[[#This Row],[$PerTB]]/CompareWarrYrs</f>
        <v>20.160906666666666</v>
      </c>
      <c r="AB134" s="183"/>
      <c r="AC134" s="184"/>
      <c r="AD134" s="44"/>
    </row>
    <row r="135" spans="1:30" x14ac:dyDescent="0.25">
      <c r="A135" s="1">
        <v>43298</v>
      </c>
      <c r="B135" t="s">
        <v>6</v>
      </c>
      <c r="C135" s="115" t="s">
        <v>55</v>
      </c>
      <c r="D135" s="121" t="s">
        <v>49</v>
      </c>
      <c r="E135" s="98">
        <v>2.5</v>
      </c>
      <c r="F135" s="85">
        <v>1</v>
      </c>
      <c r="G135" s="46">
        <v>5400</v>
      </c>
      <c r="H135" s="5"/>
      <c r="I135" s="5"/>
      <c r="J135" s="65">
        <f>(Table5[[#This Row],[RPM]]/5400-1)</f>
        <v>0</v>
      </c>
      <c r="K135" s="49">
        <v>144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6"/>
        <v>100000000000000</v>
      </c>
      <c r="Q135" s="57">
        <v>5</v>
      </c>
      <c r="R135" s="5">
        <v>1.4</v>
      </c>
      <c r="S135" s="5">
        <v>0.6</v>
      </c>
      <c r="T135" s="128">
        <v>0.2</v>
      </c>
      <c r="U135" s="132">
        <f>(((Table5[[#This Row],[Watts Active]]*Power_On_Hours_Year/1000)*Active_Duty_Cycle)+((Table5[[#This Row],[Watts Idle]]*Power_On_Hours_Year/1000)*(100%-Active_Duty_Cycle)))*CostPerKWH</f>
        <v>0.83274720000000002</v>
      </c>
      <c r="V135" s="166">
        <f>Table5[Energy$year]/Table5[[#This Row],[SizTB]]</f>
        <v>0.83274720000000002</v>
      </c>
      <c r="W135" s="165">
        <v>72.23</v>
      </c>
      <c r="X135" s="6">
        <f>Table5[[#This Row],[Cost]]/Table5[[#This Row],[SizTB]]*Exchange_Rate</f>
        <v>72.23</v>
      </c>
      <c r="Y135" s="170">
        <f>Table5[[#This Row],[Cost]]+((CompareWarrYrs-Table5[[#This Row],[S]])*(Incremental_Warr_Yr*Table5[[#This Row],[Cost]]))*Exchange_Rate</f>
        <v>88.12060000000001</v>
      </c>
      <c r="Z135" s="6">
        <f>Table5[[#This Row],[$+Warr]]/Table5[[#This Row],[SizTB]]</f>
        <v>88.12060000000001</v>
      </c>
      <c r="AA135" s="6">
        <f>Table5[[#This Row],[$PerTB]]/CompareWarrYrs</f>
        <v>17.624120000000001</v>
      </c>
      <c r="AB135" s="183"/>
      <c r="AC135" s="184"/>
      <c r="AD135" s="44"/>
    </row>
    <row r="136" spans="1:30" x14ac:dyDescent="0.25">
      <c r="A136" s="1">
        <v>43284</v>
      </c>
      <c r="B136" t="s">
        <v>6</v>
      </c>
      <c r="C136" s="115" t="s">
        <v>55</v>
      </c>
      <c r="D136" s="31" t="s">
        <v>49</v>
      </c>
      <c r="E136" s="98">
        <v>3.5</v>
      </c>
      <c r="F136" s="85">
        <v>1</v>
      </c>
      <c r="G136" s="46">
        <v>5400</v>
      </c>
      <c r="H136" s="5"/>
      <c r="I136" s="5"/>
      <c r="J136" s="65">
        <f>(Table5[[#This Row],[RPM]]/5400-1)</f>
        <v>0</v>
      </c>
      <c r="K136" s="49">
        <v>150</v>
      </c>
      <c r="L136">
        <v>3</v>
      </c>
      <c r="M136" s="40">
        <v>600000</v>
      </c>
      <c r="N136">
        <v>180</v>
      </c>
      <c r="O136" s="40">
        <v>1000000</v>
      </c>
      <c r="P136" s="39">
        <f>10^14</f>
        <v>100000000000000</v>
      </c>
      <c r="Q136" s="57">
        <f>12*1.2</f>
        <v>14.399999999999999</v>
      </c>
      <c r="R136" s="5">
        <v>3.3</v>
      </c>
      <c r="S136" s="5">
        <v>2.2999999999999998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2.7393000000000001</v>
      </c>
      <c r="V136" s="166">
        <f>Table5[Energy$year]/Table5[[#This Row],[SizTB]]</f>
        <v>2.7393000000000001</v>
      </c>
      <c r="W136" s="165">
        <v>62</v>
      </c>
      <c r="X136" s="6">
        <f>Table5[[#This Row],[Cost]]/Table5[[#This Row],[SizTB]]*Exchange_Rate</f>
        <v>62</v>
      </c>
      <c r="Y136" s="170">
        <f>Table5[[#This Row],[Cost]]+((CompareWarrYrs-Table5[[#This Row],[S]])*(Incremental_Warr_Yr*Table5[[#This Row],[Cost]]))*Exchange_Rate</f>
        <v>75.64</v>
      </c>
      <c r="Z136" s="6">
        <f>Table5[[#This Row],[$+Warr]]/Table5[[#This Row],[SizTB]]</f>
        <v>75.64</v>
      </c>
      <c r="AA136" s="6">
        <f>Table5[[#This Row],[$PerTB]]/CompareWarrYrs</f>
        <v>15.128</v>
      </c>
      <c r="AB136" s="183">
        <v>21</v>
      </c>
      <c r="AC136" s="184">
        <v>22</v>
      </c>
      <c r="AD136" s="44"/>
    </row>
    <row r="137" spans="1:30" x14ac:dyDescent="0.25">
      <c r="A137" s="1">
        <v>43298</v>
      </c>
      <c r="B137" t="s">
        <v>6</v>
      </c>
      <c r="C137" s="115" t="s">
        <v>55</v>
      </c>
      <c r="D137" s="31" t="s">
        <v>49</v>
      </c>
      <c r="E137" s="98">
        <v>3.5</v>
      </c>
      <c r="F137" s="85">
        <v>2</v>
      </c>
      <c r="G137" s="46">
        <v>5400</v>
      </c>
      <c r="H137" s="5"/>
      <c r="I137" s="5"/>
      <c r="J137" s="65">
        <f>(Table5[[#This Row],[RPM]]/5400-1)</f>
        <v>0</v>
      </c>
      <c r="K137" s="49">
        <v>147</v>
      </c>
      <c r="L137">
        <v>3</v>
      </c>
      <c r="M137" s="40">
        <v>600000</v>
      </c>
      <c r="N137">
        <v>180</v>
      </c>
      <c r="O137" s="40">
        <v>1000000</v>
      </c>
      <c r="P137" s="39">
        <f t="shared" ref="P137:P143" si="17">10^14</f>
        <v>100000000000000</v>
      </c>
      <c r="Q137" s="57">
        <f>12*1.73</f>
        <v>20.759999999999998</v>
      </c>
      <c r="R137" s="5">
        <v>4.0999999999999996</v>
      </c>
      <c r="S137" s="5">
        <v>2.7</v>
      </c>
      <c r="T137" s="128">
        <v>0.4</v>
      </c>
      <c r="U137" s="132">
        <f>(((Table5[[#This Row],[Watts Active]]*Power_On_Hours_Year/1000)*Active_Duty_Cycle)+((Table5[[#This Row],[Watts Idle]]*Power_On_Hours_Year/1000)*(100%-Active_Duty_Cycle)))*CostPerKWH</f>
        <v>3.2652456000000005</v>
      </c>
      <c r="V137" s="166">
        <f>Table5[Energy$year]/Table5[[#This Row],[SizTB]]</f>
        <v>1.6326228000000003</v>
      </c>
      <c r="W137" s="165">
        <v>83.99</v>
      </c>
      <c r="X137" s="6">
        <f>Table5[[#This Row],[Cost]]/Table5[[#This Row],[SizTB]]*Exchange_Rate</f>
        <v>41.994999999999997</v>
      </c>
      <c r="Y137" s="170">
        <f>Table5[[#This Row],[Cost]]+((CompareWarrYrs-Table5[[#This Row],[S]])*(Incremental_Warr_Yr*Table5[[#This Row],[Cost]]))*Exchange_Rate</f>
        <v>102.4678</v>
      </c>
      <c r="Z137" s="6">
        <f>Table5[[#This Row],[$+Warr]]/Table5[[#This Row],[SizTB]]</f>
        <v>51.233899999999998</v>
      </c>
      <c r="AA137" s="6">
        <f>Table5[[#This Row],[$PerTB]]/CompareWarrYrs</f>
        <v>10.246779999999999</v>
      </c>
      <c r="AB137" s="183">
        <v>23</v>
      </c>
      <c r="AC137" s="184">
        <v>24</v>
      </c>
      <c r="AD137" s="44"/>
    </row>
    <row r="138" spans="1:30" x14ac:dyDescent="0.25">
      <c r="A138" s="1">
        <v>43284</v>
      </c>
      <c r="B138" t="s">
        <v>6</v>
      </c>
      <c r="C138" s="115" t="s">
        <v>55</v>
      </c>
      <c r="D138" s="31" t="s">
        <v>49</v>
      </c>
      <c r="E138" s="98">
        <v>3.5</v>
      </c>
      <c r="F138" s="85">
        <v>3</v>
      </c>
      <c r="G138" s="46">
        <v>5400</v>
      </c>
      <c r="H138" s="5"/>
      <c r="I138" s="5">
        <v>8.9</v>
      </c>
      <c r="J138" s="65">
        <f>(Table5[[#This Row],[RPM]]/5400-1)</f>
        <v>0</v>
      </c>
      <c r="K138" s="49">
        <v>147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12*1.73</f>
        <v>20.759999999999998</v>
      </c>
      <c r="R138" s="5">
        <v>4.0999999999999996</v>
      </c>
      <c r="S138" s="5">
        <v>2.7</v>
      </c>
      <c r="T138" s="128">
        <v>0.4</v>
      </c>
      <c r="U138" s="132">
        <f>(((Table5[[#This Row],[Watts Active]]*Power_On_Hours_Year/1000)*Active_Duty_Cycle)+((Table5[[#This Row],[Watts Idle]]*Power_On_Hours_Year/1000)*(100%-Active_Duty_Cycle)))*CostPerKWH</f>
        <v>3.2652456000000005</v>
      </c>
      <c r="V138" s="166">
        <f>Table5[Energy$year]/Table5[[#This Row],[SizTB]]</f>
        <v>1.0884152000000002</v>
      </c>
      <c r="W138" s="165">
        <v>107.99</v>
      </c>
      <c r="X138" s="6">
        <f>Table5[[#This Row],[Cost]]/Table5[[#This Row],[SizTB]]*Exchange_Rate</f>
        <v>35.996666666666663</v>
      </c>
      <c r="Y138" s="170">
        <f>Table5[[#This Row],[Cost]]+((CompareWarrYrs-Table5[[#This Row],[S]])*(Incremental_Warr_Yr*Table5[[#This Row],[Cost]]))*Exchange_Rate</f>
        <v>131.74779999999998</v>
      </c>
      <c r="Z138" s="6">
        <f>Table5[[#This Row],[$+Warr]]/Table5[[#This Row],[SizTB]]</f>
        <v>43.915933333333328</v>
      </c>
      <c r="AA138" s="6">
        <f>Table5[[#This Row],[$PerTB]]/CompareWarrYrs</f>
        <v>8.7831866666666656</v>
      </c>
      <c r="AB138" s="183">
        <v>23</v>
      </c>
      <c r="AC138" s="184">
        <v>24</v>
      </c>
      <c r="AD138" s="44"/>
    </row>
    <row r="139" spans="1:30" x14ac:dyDescent="0.25">
      <c r="A139" s="1">
        <v>43284</v>
      </c>
      <c r="B139" t="s">
        <v>6</v>
      </c>
      <c r="C139" s="115" t="s">
        <v>55</v>
      </c>
      <c r="D139" s="31" t="s">
        <v>49</v>
      </c>
      <c r="E139" s="98">
        <v>3.5</v>
      </c>
      <c r="F139" s="85">
        <v>4</v>
      </c>
      <c r="G139" s="46">
        <v>5400</v>
      </c>
      <c r="H139" s="5"/>
      <c r="I139" s="5"/>
      <c r="J139" s="65">
        <f>(Table5[[#This Row],[RPM]]/5400-1)</f>
        <v>0</v>
      </c>
      <c r="K139" s="49">
        <v>150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7"/>
        <v>100000000000000</v>
      </c>
      <c r="Q139" s="57">
        <f>12*1.75</f>
        <v>21</v>
      </c>
      <c r="R139" s="5">
        <v>4.5</v>
      </c>
      <c r="S139" s="5">
        <v>3.3</v>
      </c>
      <c r="T139" s="128">
        <v>0.4</v>
      </c>
      <c r="U139" s="132">
        <f>(((Table5[[#This Row],[Watts Active]]*Power_On_Hours_Year/1000)*Active_Duty_Cycle)+((Table5[[#This Row],[Watts Idle]]*Power_On_Hours_Year/1000)*(100%-Active_Duty_Cycle)))*CostPerKWH</f>
        <v>3.8788488000000001</v>
      </c>
      <c r="V139" s="166">
        <f>Table5[Energy$year]/Table5[[#This Row],[SizTB]]</f>
        <v>0.96971220000000002</v>
      </c>
      <c r="W139" s="165">
        <v>124.99</v>
      </c>
      <c r="X139" s="6">
        <f>Table5[[#This Row],[Cost]]/Table5[[#This Row],[SizTB]]*Exchange_Rate</f>
        <v>31.247499999999999</v>
      </c>
      <c r="Y139" s="170">
        <f>Table5[[#This Row],[Cost]]+((CompareWarrYrs-Table5[[#This Row],[S]])*(Incremental_Warr_Yr*Table5[[#This Row],[Cost]]))*Exchange_Rate</f>
        <v>152.48779999999999</v>
      </c>
      <c r="Z139" s="6">
        <f>Table5[[#This Row],[$+Warr]]/Table5[[#This Row],[SizTB]]</f>
        <v>38.121949999999998</v>
      </c>
      <c r="AA139" s="6">
        <f>Table5[[#This Row],[$PerTB]]/CompareWarrYrs</f>
        <v>7.62439</v>
      </c>
      <c r="AB139" s="183">
        <v>25</v>
      </c>
      <c r="AC139" s="184">
        <v>28</v>
      </c>
      <c r="AD139" s="44"/>
    </row>
    <row r="140" spans="1:30" x14ac:dyDescent="0.25">
      <c r="A140" s="1">
        <v>43130</v>
      </c>
      <c r="B140" t="s">
        <v>6</v>
      </c>
      <c r="C140" s="115" t="s">
        <v>55</v>
      </c>
      <c r="D140" s="31" t="s">
        <v>49</v>
      </c>
      <c r="E140" s="98">
        <v>3.5</v>
      </c>
      <c r="F140" s="85">
        <v>5</v>
      </c>
      <c r="G140" s="46">
        <v>5400</v>
      </c>
      <c r="H140" s="5"/>
      <c r="I140" s="5"/>
      <c r="J140" s="65">
        <f>(Table5[[#This Row],[RPM]]/5400-1)</f>
        <v>0</v>
      </c>
      <c r="K140" s="49"/>
      <c r="L140">
        <v>3</v>
      </c>
      <c r="M140" s="40">
        <v>600000</v>
      </c>
      <c r="N140">
        <v>180</v>
      </c>
      <c r="O140" s="40">
        <v>1000000</v>
      </c>
      <c r="P140" s="39">
        <f t="shared" si="17"/>
        <v>100000000000000</v>
      </c>
      <c r="Q140" s="57">
        <f>12*1.75</f>
        <v>21</v>
      </c>
      <c r="R140" s="5">
        <v>5.3</v>
      </c>
      <c r="S140" s="5">
        <v>3.4</v>
      </c>
      <c r="T140" s="128">
        <v>0.4</v>
      </c>
      <c r="U140" s="132">
        <f>(((Table5[[#This Row],[Watts Active]]*Power_On_Hours_Year/1000)*Active_Duty_Cycle)+((Table5[[#This Row],[Watts Idle]]*Power_On_Hours_Year/1000)*(100%-Active_Duty_Cycle)))*CostPerKWH</f>
        <v>4.1418216000000001</v>
      </c>
      <c r="V140" s="166">
        <f>Table5[Energy$year]/Table5[[#This Row],[SizTB]]</f>
        <v>0.82836432000000004</v>
      </c>
      <c r="W140" s="165">
        <v>248.99</v>
      </c>
      <c r="X140" s="6">
        <f>Table5[[#This Row],[Cost]]/Table5[[#This Row],[SizTB]]*Exchange_Rate</f>
        <v>49.798000000000002</v>
      </c>
      <c r="Y140" s="170">
        <f>Table5[[#This Row],[Cost]]+((CompareWarrYrs-Table5[[#This Row],[S]])*(Incremental_Warr_Yr*Table5[[#This Row],[Cost]]))*Exchange_Rate</f>
        <v>303.76780000000002</v>
      </c>
      <c r="Z140" s="6">
        <f>Table5[[#This Row],[$+Warr]]/Table5[[#This Row],[SizTB]]</f>
        <v>60.753560000000007</v>
      </c>
      <c r="AA140" s="6">
        <f>Table5[[#This Row],[$PerTB]]/CompareWarrYrs</f>
        <v>12.150712000000002</v>
      </c>
      <c r="AB140" s="183"/>
      <c r="AC140" s="184"/>
      <c r="AD140" s="44"/>
    </row>
    <row r="141" spans="1:30" x14ac:dyDescent="0.25">
      <c r="A141" s="1">
        <v>43291</v>
      </c>
      <c r="B141" t="s">
        <v>6</v>
      </c>
      <c r="C141" s="115" t="s">
        <v>55</v>
      </c>
      <c r="D141" s="31" t="s">
        <v>49</v>
      </c>
      <c r="E141" s="98">
        <v>3.5</v>
      </c>
      <c r="F141" s="85">
        <v>6</v>
      </c>
      <c r="G141" s="46">
        <v>5400</v>
      </c>
      <c r="H141" s="5"/>
      <c r="I141" s="5"/>
      <c r="J141" s="65">
        <f>(Table5[[#This Row],[RPM]]/5400-1)</f>
        <v>0</v>
      </c>
      <c r="K141" s="49">
        <v>175</v>
      </c>
      <c r="L141">
        <v>3</v>
      </c>
      <c r="M141" s="40">
        <v>600000</v>
      </c>
      <c r="N141">
        <v>180</v>
      </c>
      <c r="O141" s="40">
        <v>1000000</v>
      </c>
      <c r="P141" s="39">
        <f t="shared" si="17"/>
        <v>100000000000000</v>
      </c>
      <c r="Q141" s="57">
        <f>12*1.75</f>
        <v>21</v>
      </c>
      <c r="R141" s="5">
        <v>5.3</v>
      </c>
      <c r="S141" s="5">
        <v>3.4</v>
      </c>
      <c r="T141" s="128">
        <v>0.4</v>
      </c>
      <c r="U141" s="132">
        <f>(((Table5[[#This Row],[Watts Active]]*Power_On_Hours_Year/1000)*Active_Duty_Cycle)+((Table5[[#This Row],[Watts Idle]]*Power_On_Hours_Year/1000)*(100%-Active_Duty_Cycle)))*CostPerKWH</f>
        <v>4.1418216000000001</v>
      </c>
      <c r="V141" s="166">
        <f>Table5[Energy$year]/Table5[[#This Row],[SizTB]]</f>
        <v>0.69030360000000002</v>
      </c>
      <c r="W141" s="165">
        <f>345.98/2</f>
        <v>172.99</v>
      </c>
      <c r="X141" s="6">
        <f>Table5[[#This Row],[Cost]]/Table5[[#This Row],[SizTB]]*Exchange_Rate</f>
        <v>28.831666666666667</v>
      </c>
      <c r="Y141" s="170">
        <f>Table5[[#This Row],[Cost]]+((CompareWarrYrs-Table5[[#This Row],[S]])*(Incremental_Warr_Yr*Table5[[#This Row],[Cost]]))*Exchange_Rate</f>
        <v>211.0478</v>
      </c>
      <c r="Z141" s="6">
        <f>Table5[[#This Row],[$+Warr]]/Table5[[#This Row],[SizTB]]</f>
        <v>35.174633333333333</v>
      </c>
      <c r="AA141" s="6">
        <f>Table5[[#This Row],[$PerTB]]/CompareWarrYrs</f>
        <v>7.0349266666666663</v>
      </c>
      <c r="AB141" s="183">
        <v>25</v>
      </c>
      <c r="AC141" s="184">
        <v>28</v>
      </c>
      <c r="AD141" s="44"/>
    </row>
    <row r="142" spans="1:30" x14ac:dyDescent="0.25">
      <c r="A142" s="1">
        <v>43284</v>
      </c>
      <c r="B142" t="s">
        <v>6</v>
      </c>
      <c r="C142" s="115" t="s">
        <v>55</v>
      </c>
      <c r="D142" s="31" t="s">
        <v>49</v>
      </c>
      <c r="E142" s="98">
        <v>3.5</v>
      </c>
      <c r="F142" s="85">
        <v>8</v>
      </c>
      <c r="G142" s="46">
        <v>5400</v>
      </c>
      <c r="H142" s="5"/>
      <c r="I142" s="5"/>
      <c r="J142" s="65">
        <f>(Table5[[#This Row],[RPM]]/5400-1)</f>
        <v>0</v>
      </c>
      <c r="K142" s="49">
        <v>178</v>
      </c>
      <c r="L142">
        <v>3</v>
      </c>
      <c r="M142" s="40">
        <v>600000</v>
      </c>
      <c r="N142">
        <v>180</v>
      </c>
      <c r="O142" s="40">
        <v>1000000</v>
      </c>
      <c r="P142" s="39">
        <f t="shared" si="17"/>
        <v>100000000000000</v>
      </c>
      <c r="Q142" s="57">
        <f>12*1.79</f>
        <v>21.48</v>
      </c>
      <c r="R142" s="5">
        <v>6.4</v>
      </c>
      <c r="S142" s="5">
        <v>5.2</v>
      </c>
      <c r="T142" s="128">
        <v>0.7</v>
      </c>
      <c r="U142" s="132">
        <f>(((Table5[[#This Row],[Watts Active]]*Power_On_Hours_Year/1000)*Active_Duty_Cycle)+((Table5[[#This Row],[Watts Idle]]*Power_On_Hours_Year/1000)*(100%-Active_Duty_Cycle)))*CostPerKWH</f>
        <v>5.960716800000001</v>
      </c>
      <c r="V142" s="166">
        <f>Table5[Energy$year]/Table5[[#This Row],[SizTB]]</f>
        <v>0.74508960000000013</v>
      </c>
      <c r="W142" s="165">
        <v>274.99</v>
      </c>
      <c r="X142" s="6">
        <f>Table5[[#This Row],[Cost]]/Table5[[#This Row],[SizTB]]*Exchange_Rate</f>
        <v>34.373750000000001</v>
      </c>
      <c r="Y142" s="170">
        <f>Table5[[#This Row],[Cost]]+((CompareWarrYrs-Table5[[#This Row],[S]])*(Incremental_Warr_Yr*Table5[[#This Row],[Cost]]))*Exchange_Rate</f>
        <v>335.48779999999999</v>
      </c>
      <c r="Z142" s="6">
        <f>Table5[[#This Row],[$+Warr]]/Table5[[#This Row],[SizTB]]</f>
        <v>41.935974999999999</v>
      </c>
      <c r="AA142" s="6">
        <f>Table5[[#This Row],[$PerTB]]/CompareWarrYrs</f>
        <v>8.3871950000000002</v>
      </c>
      <c r="AB142" s="183">
        <v>20</v>
      </c>
      <c r="AC142" s="184">
        <v>29</v>
      </c>
      <c r="AD142" s="122" t="s">
        <v>37</v>
      </c>
    </row>
    <row r="143" spans="1:30" x14ac:dyDescent="0.25">
      <c r="A143" s="1">
        <v>43284</v>
      </c>
      <c r="B143" t="s">
        <v>6</v>
      </c>
      <c r="C143" s="115" t="s">
        <v>55</v>
      </c>
      <c r="D143" s="31" t="s">
        <v>49</v>
      </c>
      <c r="E143" s="98">
        <v>3.5</v>
      </c>
      <c r="F143" s="85">
        <v>10</v>
      </c>
      <c r="G143" s="46">
        <v>5400</v>
      </c>
      <c r="H143" s="5"/>
      <c r="I143" s="5"/>
      <c r="J143" s="65">
        <f>(Table5[[#This Row],[RPM]]/5400-1)</f>
        <v>0</v>
      </c>
      <c r="K143" s="49">
        <v>210</v>
      </c>
      <c r="L143">
        <v>3</v>
      </c>
      <c r="M143" s="40">
        <v>600000</v>
      </c>
      <c r="N143">
        <v>180</v>
      </c>
      <c r="O143" s="40">
        <v>1000000</v>
      </c>
      <c r="P143" s="39">
        <f t="shared" si="17"/>
        <v>100000000000000</v>
      </c>
      <c r="Q143" s="57">
        <f>12*1.79</f>
        <v>21.48</v>
      </c>
      <c r="R143" s="5">
        <v>5.7</v>
      </c>
      <c r="S143" s="5">
        <v>2.8</v>
      </c>
      <c r="T143" s="128">
        <v>0.5</v>
      </c>
      <c r="U143" s="132">
        <f>(((Table5[[#This Row],[Watts Active]]*Power_On_Hours_Year/1000)*Active_Duty_Cycle)+((Table5[[#This Row],[Watts Idle]]*Power_On_Hours_Year/1000)*(100%-Active_Duty_Cycle)))*CostPerKWH</f>
        <v>3.7035336000000001</v>
      </c>
      <c r="V143" s="166">
        <f>Table5[Energy$year]/Table5[[#This Row],[SizTB]]</f>
        <v>0.37035336000000002</v>
      </c>
      <c r="W143" s="165">
        <v>324.99</v>
      </c>
      <c r="X143" s="6">
        <f>Table5[[#This Row],[Cost]]/Table5[[#This Row],[SizTB]]*Exchange_Rate</f>
        <v>32.499000000000002</v>
      </c>
      <c r="Y143" s="170">
        <f>Table5[[#This Row],[Cost]]+((CompareWarrYrs-Table5[[#This Row],[S]])*(Incremental_Warr_Yr*Table5[[#This Row],[Cost]]))*Exchange_Rate</f>
        <v>396.48779999999999</v>
      </c>
      <c r="Z143" s="6">
        <f>Table5[[#This Row],[$+Warr]]/Table5[[#This Row],[SizTB]]</f>
        <v>39.648780000000002</v>
      </c>
      <c r="AA143" s="6">
        <f>Table5[[#This Row],[$PerTB]]/CompareWarrYrs</f>
        <v>7.9297560000000002</v>
      </c>
      <c r="AB143" s="183">
        <v>20</v>
      </c>
      <c r="AC143" s="184">
        <v>29</v>
      </c>
      <c r="AD143" s="122" t="s">
        <v>37</v>
      </c>
    </row>
    <row r="144" spans="1:30" x14ac:dyDescent="0.25">
      <c r="A144" s="1">
        <v>43298</v>
      </c>
      <c r="B144" t="s">
        <v>6</v>
      </c>
      <c r="C144" s="115" t="s">
        <v>12</v>
      </c>
      <c r="D144" s="31" t="s">
        <v>49</v>
      </c>
      <c r="E144" s="98">
        <v>3.5</v>
      </c>
      <c r="F144" s="85">
        <v>2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164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12*1.9</f>
        <v>22.799999999999997</v>
      </c>
      <c r="R144" s="5">
        <v>7.8</v>
      </c>
      <c r="S144" s="5">
        <v>6</v>
      </c>
      <c r="T144" s="128">
        <v>1.4</v>
      </c>
      <c r="U144" s="132">
        <f>(((Table5[[#This Row],[Watts Active]]*Power_On_Hours_Year/1000)*Active_Duty_Cycle)+((Table5[[#This Row],[Watts Idle]]*Power_On_Hours_Year/1000)*(100%-Active_Duty_Cycle)))*CostPerKWH</f>
        <v>6.9687792000000002</v>
      </c>
      <c r="V144" s="166">
        <f>Table5[Energy$year]/Table5[[#This Row],[SizTB]]</f>
        <v>3.4843896000000001</v>
      </c>
      <c r="W144" s="165">
        <v>109.99</v>
      </c>
      <c r="X144" s="6">
        <f>Table5[[#This Row],[Cost]]/Table5[[#This Row],[SizTB]]*Exchange_Rate</f>
        <v>54.994999999999997</v>
      </c>
      <c r="Y144" s="170">
        <f>Table5[[#This Row],[Cost]]+((CompareWarrYrs-Table5[[#This Row],[S]])*(Incremental_Warr_Yr*Table5[[#This Row],[Cost]]))*Exchange_Rate</f>
        <v>109.99</v>
      </c>
      <c r="Z144" s="6">
        <f>Table5[[#This Row],[$+Warr]]/Table5[[#This Row],[SizTB]]</f>
        <v>54.994999999999997</v>
      </c>
      <c r="AA144" s="6">
        <f>Table5[[#This Row],[$PerTB]]/CompareWarrYrs</f>
        <v>10.998999999999999</v>
      </c>
      <c r="AB144" s="183">
        <v>31</v>
      </c>
      <c r="AC144" s="184">
        <v>34</v>
      </c>
      <c r="AD144" s="44"/>
    </row>
    <row r="145" spans="1:30" x14ac:dyDescent="0.25">
      <c r="A145" s="1">
        <v>43298</v>
      </c>
      <c r="B145" t="s">
        <v>6</v>
      </c>
      <c r="C145" s="115" t="s">
        <v>12</v>
      </c>
      <c r="D145" s="31" t="s">
        <v>49</v>
      </c>
      <c r="E145" s="98">
        <v>3.5</v>
      </c>
      <c r="F145" s="85">
        <v>3</v>
      </c>
      <c r="G145" s="46">
        <v>7200</v>
      </c>
      <c r="H145" s="5"/>
      <c r="I145" s="5"/>
      <c r="J145" s="65">
        <f>(Table5[[#This Row],[RPM]]/5400-1)</f>
        <v>0.33333333333333326</v>
      </c>
      <c r="K145" s="49"/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12*1.9</f>
        <v>22.799999999999997</v>
      </c>
      <c r="R145" s="5">
        <v>8.6</v>
      </c>
      <c r="S145" s="5">
        <v>6.5</v>
      </c>
      <c r="T145" s="128">
        <v>0.6</v>
      </c>
      <c r="U145" s="132">
        <f>(((Table5[[#This Row],[Watts Active]]*Power_On_Hours_Year/1000)*Active_Duty_Cycle)+((Table5[[#This Row],[Watts Idle]]*Power_On_Hours_Year/1000)*(100%-Active_Duty_Cycle)))*CostPerKWH</f>
        <v>7.5823824000000002</v>
      </c>
      <c r="V145" s="166">
        <f>Table5[Energy$year]/Table5[[#This Row],[SizTB]]</f>
        <v>2.5274608000000001</v>
      </c>
      <c r="W145" s="165">
        <v>233.89</v>
      </c>
      <c r="X145" s="6">
        <f>Table5[[#This Row],[Cost]]/Table5[[#This Row],[SizTB]]*Exchange_Rate</f>
        <v>77.963333333333324</v>
      </c>
      <c r="Y145" s="170">
        <f>Table5[[#This Row],[Cost]]+((CompareWarrYrs-Table5[[#This Row],[S]])*(Incremental_Warr_Yr*Table5[[#This Row],[Cost]]))*Exchange_Rate</f>
        <v>233.89</v>
      </c>
      <c r="Z145" s="6">
        <f>Table5[[#This Row],[$+Warr]]/Table5[[#This Row],[SizTB]]</f>
        <v>77.963333333333324</v>
      </c>
      <c r="AA145" s="6">
        <f>Table5[[#This Row],[$PerTB]]/CompareWarrYrs</f>
        <v>15.592666666666664</v>
      </c>
      <c r="AB145" s="183"/>
      <c r="AC145" s="184"/>
      <c r="AD145" s="44"/>
    </row>
    <row r="146" spans="1:30" x14ac:dyDescent="0.25">
      <c r="A146" s="1">
        <v>43284</v>
      </c>
      <c r="B146" t="s">
        <v>6</v>
      </c>
      <c r="C146" s="115" t="s">
        <v>12</v>
      </c>
      <c r="D146" s="31" t="s">
        <v>49</v>
      </c>
      <c r="E146" s="98">
        <v>3.5</v>
      </c>
      <c r="F146" s="85">
        <v>4</v>
      </c>
      <c r="G146" s="46">
        <v>7200</v>
      </c>
      <c r="H146" s="5"/>
      <c r="I146" s="5"/>
      <c r="J146" s="65">
        <f>(Table5[[#This Row],[RPM]]/5400-1)</f>
        <v>0.33333333333333326</v>
      </c>
      <c r="K146" s="49">
        <v>202</v>
      </c>
      <c r="L146">
        <v>5</v>
      </c>
      <c r="M146" s="40">
        <v>600000</v>
      </c>
      <c r="N146">
        <v>300</v>
      </c>
      <c r="O146" s="40">
        <v>1000000</v>
      </c>
      <c r="P146" s="39">
        <v>1000000000000000</v>
      </c>
      <c r="Q146" s="57">
        <f>12*1.79</f>
        <v>21.48</v>
      </c>
      <c r="R146" s="5">
        <v>9.1</v>
      </c>
      <c r="S146" s="5">
        <v>7.1</v>
      </c>
      <c r="T146" s="128">
        <v>1</v>
      </c>
      <c r="U146" s="132">
        <f>(((Table5[[#This Row],[Watts Active]]*Power_On_Hours_Year/1000)*Active_Duty_Cycle)+((Table5[[#This Row],[Watts Idle]]*Power_On_Hours_Year/1000)*(100%-Active_Duty_Cycle)))*CostPerKWH</f>
        <v>8.2179000000000002</v>
      </c>
      <c r="V146" s="166">
        <f>Table5[Energy$year]/Table5[[#This Row],[SizTB]]</f>
        <v>2.0544750000000001</v>
      </c>
      <c r="W146" s="165">
        <v>195.98</v>
      </c>
      <c r="X146" s="6">
        <f>Table5[[#This Row],[Cost]]/Table5[[#This Row],[SizTB]]*Exchange_Rate</f>
        <v>48.994999999999997</v>
      </c>
      <c r="Y146" s="170">
        <f>Table5[[#This Row],[Cost]]+((CompareWarrYrs-Table5[[#This Row],[S]])*(Incremental_Warr_Yr*Table5[[#This Row],[Cost]]))*Exchange_Rate</f>
        <v>195.98</v>
      </c>
      <c r="Z146" s="6">
        <f>Table5[[#This Row],[$+Warr]]/Table5[[#This Row],[SizTB]]</f>
        <v>48.994999999999997</v>
      </c>
      <c r="AA146" s="6">
        <f>Table5[[#This Row],[$PerTB]]/CompareWarrYrs</f>
        <v>9.7989999999999995</v>
      </c>
      <c r="AB146" s="183">
        <v>29</v>
      </c>
      <c r="AC146" s="184">
        <v>36</v>
      </c>
      <c r="AD146" s="44"/>
    </row>
    <row r="147" spans="1:30" x14ac:dyDescent="0.25">
      <c r="A147" s="1">
        <v>43284</v>
      </c>
      <c r="B147" t="s">
        <v>6</v>
      </c>
      <c r="C147" s="115" t="s">
        <v>12</v>
      </c>
      <c r="D147" s="31" t="s">
        <v>49</v>
      </c>
      <c r="E147" s="98">
        <v>3.5</v>
      </c>
      <c r="F147" s="85">
        <v>6</v>
      </c>
      <c r="G147" s="46">
        <v>7200</v>
      </c>
      <c r="H147" s="5"/>
      <c r="I147" s="5"/>
      <c r="J147" s="65">
        <f>(Table5[[#This Row],[RPM]]/5400-1)</f>
        <v>0.33333333333333326</v>
      </c>
      <c r="K147" s="49">
        <v>227</v>
      </c>
      <c r="L147">
        <v>5</v>
      </c>
      <c r="M147" s="40">
        <v>600000</v>
      </c>
      <c r="N147">
        <v>300</v>
      </c>
      <c r="O147" s="40">
        <v>1000000</v>
      </c>
      <c r="P147" s="39">
        <v>1000000000000000</v>
      </c>
      <c r="Q147" s="57">
        <f>12*1.79</f>
        <v>21.48</v>
      </c>
      <c r="R147" s="5">
        <v>9.1</v>
      </c>
      <c r="S147" s="5">
        <v>7.1</v>
      </c>
      <c r="T147" s="128">
        <v>1</v>
      </c>
      <c r="U147" s="132">
        <f>(((Table5[[#This Row],[Watts Active]]*Power_On_Hours_Year/1000)*Active_Duty_Cycle)+((Table5[[#This Row],[Watts Idle]]*Power_On_Hours_Year/1000)*(100%-Active_Duty_Cycle)))*CostPerKWH</f>
        <v>8.2179000000000002</v>
      </c>
      <c r="V147" s="166">
        <f>Table5[Energy$year]/Table5[[#This Row],[SizTB]]</f>
        <v>1.36965</v>
      </c>
      <c r="W147" s="165">
        <f>231.76-2.77</f>
        <v>228.98999999999998</v>
      </c>
      <c r="X147" s="6">
        <f>Table5[[#This Row],[Cost]]/Table5[[#This Row],[SizTB]]*Exchange_Rate</f>
        <v>38.164999999999999</v>
      </c>
      <c r="Y147" s="170">
        <f>Table5[[#This Row],[Cost]]+((CompareWarrYrs-Table5[[#This Row],[S]])*(Incremental_Warr_Yr*Table5[[#This Row],[Cost]]))*Exchange_Rate</f>
        <v>228.98999999999998</v>
      </c>
      <c r="Z147" s="6">
        <f>Table5[[#This Row],[$+Warr]]/Table5[[#This Row],[SizTB]]</f>
        <v>38.164999999999999</v>
      </c>
      <c r="AA147" s="6">
        <f>Table5[[#This Row],[$PerTB]]/CompareWarrYrs</f>
        <v>7.633</v>
      </c>
      <c r="AB147" s="183">
        <v>29</v>
      </c>
      <c r="AC147" s="184">
        <v>36</v>
      </c>
      <c r="AD147" s="44"/>
    </row>
    <row r="148" spans="1:30" x14ac:dyDescent="0.25">
      <c r="A148" s="1">
        <v>43284</v>
      </c>
      <c r="B148" t="s">
        <v>6</v>
      </c>
      <c r="C148" s="115" t="s">
        <v>12</v>
      </c>
      <c r="D148" s="31" t="s">
        <v>49</v>
      </c>
      <c r="E148" s="98">
        <v>3.5</v>
      </c>
      <c r="F148" s="85">
        <v>8</v>
      </c>
      <c r="G148" s="46">
        <v>7200</v>
      </c>
      <c r="H148" s="5"/>
      <c r="I148" s="5"/>
      <c r="J148" s="65">
        <f>(Table5[[#This Row],[RPM]]/5400-1)</f>
        <v>0.33333333333333326</v>
      </c>
      <c r="K148" s="49">
        <v>205</v>
      </c>
      <c r="L148">
        <v>5</v>
      </c>
      <c r="M148" s="40">
        <v>600000</v>
      </c>
      <c r="N148">
        <v>300</v>
      </c>
      <c r="O148" s="40">
        <v>1000000</v>
      </c>
      <c r="P148" s="39">
        <v>1000000000000000</v>
      </c>
      <c r="Q148" s="57">
        <f>12*1.79</f>
        <v>21.48</v>
      </c>
      <c r="R148" s="5">
        <v>8.3000000000000007</v>
      </c>
      <c r="S148" s="5">
        <v>5.2</v>
      </c>
      <c r="T148" s="128">
        <v>1</v>
      </c>
      <c r="U148" s="132">
        <f>(((Table5[[#This Row],[Watts Active]]*Power_On_Hours_Year/1000)*Active_Duty_Cycle)+((Table5[[#This Row],[Watts Idle]]*Power_On_Hours_Year/1000)*(100%-Active_Duty_Cycle)))*CostPerKWH</f>
        <v>6.377090400000001</v>
      </c>
      <c r="V148" s="166">
        <f>Table5[Energy$year]/Table5[[#This Row],[SizTB]]</f>
        <v>0.79713630000000013</v>
      </c>
      <c r="W148" s="165">
        <v>341.29</v>
      </c>
      <c r="X148" s="6">
        <f>Table5[[#This Row],[Cost]]/Table5[[#This Row],[SizTB]]*Exchange_Rate</f>
        <v>42.661250000000003</v>
      </c>
      <c r="Y148" s="170">
        <f>Table5[[#This Row],[Cost]]+((CompareWarrYrs-Table5[[#This Row],[S]])*(Incremental_Warr_Yr*Table5[[#This Row],[Cost]]))*Exchange_Rate</f>
        <v>341.29</v>
      </c>
      <c r="Z148" s="6">
        <f>Table5[[#This Row],[$+Warr]]/Table5[[#This Row],[SizTB]]</f>
        <v>42.661250000000003</v>
      </c>
      <c r="AA148" s="6">
        <f>Table5[[#This Row],[$PerTB]]/CompareWarrYrs</f>
        <v>8.5322500000000012</v>
      </c>
      <c r="AB148" s="183">
        <v>20</v>
      </c>
      <c r="AC148" s="184">
        <v>36</v>
      </c>
      <c r="AD148" s="122" t="s">
        <v>37</v>
      </c>
    </row>
    <row r="149" spans="1:30" ht="15.75" thickBot="1" x14ac:dyDescent="0.3">
      <c r="A149" s="1">
        <v>43284</v>
      </c>
      <c r="B149" t="s">
        <v>6</v>
      </c>
      <c r="C149" s="115" t="s">
        <v>12</v>
      </c>
      <c r="D149" s="106" t="s">
        <v>49</v>
      </c>
      <c r="E149" s="98">
        <v>3.5</v>
      </c>
      <c r="F149" s="85">
        <v>10</v>
      </c>
      <c r="G149" s="47">
        <v>7200</v>
      </c>
      <c r="H149" s="5"/>
      <c r="I149" s="5"/>
      <c r="J149" s="65">
        <f>(Table5[[#This Row],[RPM]]/5400-1)</f>
        <v>0.33333333333333326</v>
      </c>
      <c r="K149" s="50">
        <v>240</v>
      </c>
      <c r="L149">
        <v>5</v>
      </c>
      <c r="M149" s="40">
        <v>600000</v>
      </c>
      <c r="N149">
        <v>300</v>
      </c>
      <c r="O149" s="40">
        <v>1000000</v>
      </c>
      <c r="P149" s="39">
        <v>1000000000000000</v>
      </c>
      <c r="Q149" s="57">
        <f>12*1.8</f>
        <v>21.6</v>
      </c>
      <c r="R149" s="5">
        <v>5.7</v>
      </c>
      <c r="S149" s="5">
        <v>2.8</v>
      </c>
      <c r="T149" s="128">
        <v>0.5</v>
      </c>
      <c r="U149" s="135">
        <f>(((Table5[[#This Row],[Watts Active]]*Power_On_Hours_Year/1000)*Active_Duty_Cycle)+((Table5[[#This Row],[Watts Idle]]*Power_On_Hours_Year/1000)*(100%-Active_Duty_Cycle)))*CostPerKWH</f>
        <v>3.7035336000000001</v>
      </c>
      <c r="V149" s="168">
        <f>Table5[Energy$year]/Table5[[#This Row],[SizTB]]</f>
        <v>0.37035336000000002</v>
      </c>
      <c r="W149" s="165">
        <v>397.51</v>
      </c>
      <c r="X149" s="6">
        <f>Table5[[#This Row],[Cost]]/Table5[[#This Row],[SizTB]]*Exchange_Rate</f>
        <v>39.750999999999998</v>
      </c>
      <c r="Y149" s="171">
        <f>Table5[[#This Row],[Cost]]+((CompareWarrYrs-Table5[[#This Row],[S]])*(Incremental_Warr_Yr*Table5[[#This Row],[Cost]]))*Exchange_Rate</f>
        <v>397.51</v>
      </c>
      <c r="Z149" s="6">
        <f>Table5[[#This Row],[$+Warr]]/Table5[[#This Row],[SizTB]]</f>
        <v>39.750999999999998</v>
      </c>
      <c r="AA149" s="6">
        <f>Table5[[#This Row],[$PerTB]]/CompareWarrYrs</f>
        <v>7.9501999999999997</v>
      </c>
      <c r="AB149" s="183">
        <v>20</v>
      </c>
      <c r="AC149" s="184">
        <v>29</v>
      </c>
      <c r="AD149" s="122" t="s">
        <v>37</v>
      </c>
    </row>
    <row r="150" spans="1:30" ht="15.75" thickBot="1" x14ac:dyDescent="0.3">
      <c r="A150" s="7"/>
      <c r="B150" s="7"/>
      <c r="C150" s="7"/>
      <c r="D150" s="12" t="s">
        <v>23</v>
      </c>
      <c r="E150" s="101">
        <f>MIN(Table5[FormFactor])</f>
        <v>2.5</v>
      </c>
      <c r="F150" s="61">
        <f>MIN(Table5[SizTB])</f>
        <v>0.6</v>
      </c>
      <c r="G150" s="146">
        <f>MIN(Table5[RPM])</f>
        <v>5400</v>
      </c>
      <c r="H150" s="13">
        <f>MIN(Table5[AvgLatency])</f>
        <v>1.99</v>
      </c>
      <c r="I150" s="13">
        <f>MIN(Table5[SeekT])</f>
        <v>2.9</v>
      </c>
      <c r="J150" s="15"/>
      <c r="K150" s="66">
        <f>MIN(Table5[XferRate])</f>
        <v>99</v>
      </c>
      <c r="L150" s="54">
        <f>MIN(Table5[S])</f>
        <v>2</v>
      </c>
      <c r="M150" s="41">
        <f>MIN(Table5[CycleCnt])</f>
        <v>300000</v>
      </c>
      <c r="N150" s="13">
        <f>MIN(Table5[WorkLoad])</f>
        <v>55</v>
      </c>
      <c r="O150" s="41">
        <f>MIN(Table5[MTBF])</f>
        <v>500000</v>
      </c>
      <c r="P150" s="51">
        <f>MIN(Table5[RErrRate])</f>
        <v>100000000000000</v>
      </c>
      <c r="Q150" s="58">
        <f>MIN(Table5[MaxStartupWatts])</f>
        <v>4.5</v>
      </c>
      <c r="R150" s="13">
        <f>MIN(R3:R149)</f>
        <v>1.4</v>
      </c>
      <c r="S150" s="13">
        <f>MIN(S3:S149)</f>
        <v>0.45</v>
      </c>
      <c r="T150" s="130">
        <f>MIN(Table5[WattsStandby])</f>
        <v>0.1</v>
      </c>
      <c r="U150" s="136">
        <f>MIN(Table5[Energy$year])</f>
        <v>0</v>
      </c>
      <c r="V150" s="148">
        <f>MIN(Table5[Energy$yearPerTB])</f>
        <v>0</v>
      </c>
      <c r="W150" s="136">
        <f>MIN(Table5[Cost])</f>
        <v>39.99</v>
      </c>
      <c r="X150" s="198">
        <f>MIN(Table5[$ TB])</f>
        <v>0</v>
      </c>
      <c r="Y150" s="200">
        <f>MIN(Table5[$ TB])</f>
        <v>0</v>
      </c>
      <c r="Z150" s="14">
        <f>MIN(Table5[$PerTB])</f>
        <v>0</v>
      </c>
      <c r="AA150" s="148">
        <f>MIN(Table5[$ TB/year])</f>
        <v>0</v>
      </c>
      <c r="AB150" s="188">
        <f>MIN(Table5[DBA_Idle])</f>
        <v>20</v>
      </c>
      <c r="AC150" s="189">
        <f>MIN(Table5[DBA_Seek])</f>
        <v>22</v>
      </c>
    </row>
    <row r="151" spans="1:30" ht="15.75" thickBot="1" x14ac:dyDescent="0.3">
      <c r="B151" s="4"/>
      <c r="D151" s="16" t="s">
        <v>34</v>
      </c>
      <c r="E151" s="102">
        <f>AVERAGE(Table5[FormFactor])</f>
        <v>3.2891156462585034</v>
      </c>
      <c r="F151" s="62">
        <f>AVERAGE(Table5[SizTB])</f>
        <v>4.6901360544217692</v>
      </c>
      <c r="G151" s="147">
        <f>AVERAGE(Table5[RPM])</f>
        <v>7182.6530612244896</v>
      </c>
      <c r="H151" s="17">
        <f>AVERAGE(Table5[AvgLatency])</f>
        <v>4.1325882352941203</v>
      </c>
      <c r="I151" s="17">
        <f>AVERAGE(Table5[SeekT])</f>
        <v>9.5566666666666666</v>
      </c>
      <c r="J151" s="18"/>
      <c r="K151" s="67">
        <f>AVERAGE(Table5[XferRate])</f>
        <v>198.05714285714285</v>
      </c>
      <c r="L151" s="55">
        <f>AVERAGE(Table5[S])</f>
        <v>3.8972602739726026</v>
      </c>
      <c r="M151" s="42">
        <f>AVERAGE(Table5[CycleCnt])</f>
        <v>533035.71428571432</v>
      </c>
      <c r="N151" s="17">
        <f>AVERAGE(Table5[WorkLoad])</f>
        <v>348.86363636363637</v>
      </c>
      <c r="O151" s="42">
        <f>AVERAGE(O3:O149)</f>
        <v>1599038.4615384615</v>
      </c>
      <c r="P151" s="52">
        <f>AVERAGE(Table5[RErrRate])</f>
        <v>5615714285714286</v>
      </c>
      <c r="Q151" s="59">
        <f>AVERAGE(Table5[MaxStartupWatts])</f>
        <v>20.479599999999998</v>
      </c>
      <c r="R151" s="17">
        <f>AVERAGE(R3:R149)</f>
        <v>6.8379999999999983</v>
      </c>
      <c r="S151" s="17">
        <f>AVERAGE(S3:S149)</f>
        <v>4.7114583333333311</v>
      </c>
      <c r="T151" s="131">
        <f>AVERAGE(Table5[WattsStandby])</f>
        <v>0.80828571428571405</v>
      </c>
      <c r="U151" s="137">
        <f>AVERAGE(Table5[Energy$year])</f>
        <v>5.5124284259154894</v>
      </c>
      <c r="V151" s="149">
        <f>AVERAGE(Table5[Energy$yearPerTB])</f>
        <v>2.070604877817571</v>
      </c>
      <c r="W151" s="137">
        <f>AVERAGE(Table5[Cost])</f>
        <v>195.5847517730499</v>
      </c>
      <c r="X151" s="199">
        <f>AVERAGE(Table5[$ TB])</f>
        <v>59.706699465500485</v>
      </c>
      <c r="Y151" s="201">
        <f>AVERAGE(Table5[$ TB])</f>
        <v>59.706699465500485</v>
      </c>
      <c r="Z151" s="19">
        <f>AVERAGE(Table5[$PerTB])</f>
        <v>64.089553728539045</v>
      </c>
      <c r="AA151" s="149">
        <f>AVERAGE(Table5[$ TB/year])</f>
        <v>12.817910745707808</v>
      </c>
      <c r="AB151" s="190">
        <f>AVERAGE(Table5[DBA_Idle])</f>
        <v>26.291666666666668</v>
      </c>
      <c r="AC151" s="191">
        <f>AVERAGE(Table5[DBA_Seek])</f>
        <v>30.227848101265824</v>
      </c>
    </row>
    <row r="152" spans="1:30" ht="15.75" thickBot="1" x14ac:dyDescent="0.3">
      <c r="B152" s="4"/>
      <c r="D152" s="68" t="s">
        <v>22</v>
      </c>
      <c r="E152" s="103">
        <f>MEDIAN(Table5[FormFactor])</f>
        <v>3.5</v>
      </c>
      <c r="F152" s="62">
        <f>MEDIAN(Table5[SizTB])</f>
        <v>4</v>
      </c>
      <c r="G152" s="147">
        <f>MEDIAN(Table5[RPM])</f>
        <v>7200</v>
      </c>
      <c r="H152" s="17">
        <f>MEDIAN(Table5[AvgLatency])</f>
        <v>4.16</v>
      </c>
      <c r="I152" s="17">
        <f>MEDIAN(Table5[SeekT])</f>
        <v>8.5</v>
      </c>
      <c r="J152" s="20"/>
      <c r="K152" s="67">
        <f>MEDIAN(Table5[XferRate])</f>
        <v>201.5</v>
      </c>
      <c r="L152" s="55">
        <f>MEDIAN(Table5[S])</f>
        <v>5</v>
      </c>
      <c r="M152" s="42">
        <f>MEDIAN(Table5[CycleCnt])</f>
        <v>600000</v>
      </c>
      <c r="N152" s="17">
        <f>MEDIAN(Table5[WorkLoad])</f>
        <v>300</v>
      </c>
      <c r="O152" s="42">
        <f>MEDIAN(Table5[MTBF])</f>
        <v>2000000</v>
      </c>
      <c r="P152" s="52">
        <f>MEDIAN(Table5[RErrRate])</f>
        <v>1000000000000000</v>
      </c>
      <c r="Q152" s="59">
        <f>MEDIAN(Table5[MaxStartupWatts])</f>
        <v>22.799999999999997</v>
      </c>
      <c r="R152" s="17">
        <f>MEDIAN(R3:R149)</f>
        <v>7.05</v>
      </c>
      <c r="S152" s="17">
        <f>MEDIAN(S3:S149)</f>
        <v>5</v>
      </c>
      <c r="T152" s="131">
        <f>MEDIAN(Table5[WattsStandby])</f>
        <v>0.7</v>
      </c>
      <c r="U152" s="137">
        <f>MEDIAN(Table5[Energy$year])</f>
        <v>5.960716800000001</v>
      </c>
      <c r="V152" s="149">
        <f>MEDIAN(Table5[Energy$yearPerTB])</f>
        <v>1.36965</v>
      </c>
      <c r="W152" s="137">
        <f>MEDIAN(Table5[Cost])</f>
        <v>174.88</v>
      </c>
      <c r="X152" s="199">
        <f>MEDIAN(Table5[$ TB])</f>
        <v>39.99</v>
      </c>
      <c r="Y152" s="201">
        <f>MEDIAN(Table5[$ TB])</f>
        <v>39.99</v>
      </c>
      <c r="Z152" s="19">
        <f>MEDIAN(Table5[$PerTB])</f>
        <v>43.747500000000002</v>
      </c>
      <c r="AA152" s="149">
        <f>MEDIAN(Table5[$ TB/year])</f>
        <v>8.7495000000000012</v>
      </c>
      <c r="AB152" s="190">
        <f>MEDIAN(Table5[DBA_Idle])</f>
        <v>26</v>
      </c>
      <c r="AC152" s="191">
        <f>MEDIAN(Table5[DBA_Seek])</f>
        <v>29</v>
      </c>
    </row>
    <row r="153" spans="1:30" ht="15.75" thickBot="1" x14ac:dyDescent="0.3">
      <c r="B153" t="s">
        <v>99</v>
      </c>
      <c r="D153" s="16" t="s">
        <v>24</v>
      </c>
      <c r="E153" s="102">
        <f>MAX(Table5[FormFactor])</f>
        <v>3.5</v>
      </c>
      <c r="F153" s="62">
        <f>MAX(Table5[SizTB])</f>
        <v>14</v>
      </c>
      <c r="G153" s="147">
        <f>MAX(Table5[RPM])</f>
        <v>15030</v>
      </c>
      <c r="H153" s="17">
        <f>MAX(Table5[AvgLatency])</f>
        <v>6</v>
      </c>
      <c r="I153" s="17">
        <f>MAX(Table5[SeekT])</f>
        <v>16</v>
      </c>
      <c r="J153" s="18"/>
      <c r="K153" s="67">
        <f>MAX(Table5[XferRate])</f>
        <v>270</v>
      </c>
      <c r="L153" s="55">
        <f>MAX(Table5[S])</f>
        <v>5</v>
      </c>
      <c r="M153" s="42">
        <f>MAX(Table5[CycleCnt])</f>
        <v>600000</v>
      </c>
      <c r="N153" s="17">
        <f>MAX(Table5[WorkLoad])</f>
        <v>550</v>
      </c>
      <c r="O153" s="42">
        <f>MAX(Table5[MTBF])</f>
        <v>2500000</v>
      </c>
      <c r="P153" s="52">
        <f>MAX(Table5[RErrRate])</f>
        <v>1E+17</v>
      </c>
      <c r="Q153" s="59">
        <f>MAX(Table5[MaxStartupWatts])</f>
        <v>31.200000000000003</v>
      </c>
      <c r="R153" s="17">
        <f>MAX(R3:R149)</f>
        <v>11.4</v>
      </c>
      <c r="S153" s="17">
        <f>MAX(S3:S149)</f>
        <v>8.15</v>
      </c>
      <c r="T153" s="131">
        <f>MAX(Table5[WattsStandby])</f>
        <v>4.88</v>
      </c>
      <c r="U153" s="137">
        <f>MAX(Table5[Energy$year])</f>
        <v>9.2917056000000002</v>
      </c>
      <c r="V153" s="149">
        <f>MAX(Table5[Energy$yearPerTB])</f>
        <v>11.468536</v>
      </c>
      <c r="W153" s="137">
        <f>MAX(Table5[Cost])</f>
        <v>650</v>
      </c>
      <c r="X153" s="199">
        <f>MAX(Table5[$ TB])</f>
        <v>499.98333333333335</v>
      </c>
      <c r="Y153" s="201">
        <f>MAX(Table5[$ TB])</f>
        <v>499.98333333333335</v>
      </c>
      <c r="Z153" s="19">
        <f>MAX(Table5[$PerTB])</f>
        <v>499.98333333333335</v>
      </c>
      <c r="AA153" s="149">
        <f>MAX(Table5[$ TB/year])</f>
        <v>99.99666666666667</v>
      </c>
      <c r="AB153" s="190">
        <f>MAX(Table5[DBA_Idle])</f>
        <v>34</v>
      </c>
      <c r="AC153" s="191">
        <f>MAX(Table5[DBA_Seek])</f>
        <v>36</v>
      </c>
    </row>
    <row r="154" spans="1:30" ht="15.75" thickBot="1" x14ac:dyDescent="0.3">
      <c r="D154" s="21" t="s">
        <v>38</v>
      </c>
      <c r="E154" s="53">
        <f>COUNT(Table5[FormFactor])</f>
        <v>147</v>
      </c>
      <c r="F154" s="53">
        <f>COUNT(Table5[SizTB])</f>
        <v>147</v>
      </c>
      <c r="G154" s="53">
        <f>COUNT(Table5[RPM])</f>
        <v>147</v>
      </c>
      <c r="H154" s="22">
        <f>COUNT(Table5[AvgLatency])</f>
        <v>85</v>
      </c>
      <c r="I154" s="22">
        <f>COUNT(Table5[SeekT])</f>
        <v>48</v>
      </c>
      <c r="J154" s="23"/>
      <c r="K154" s="60">
        <f>COUNT(Table5[XferRate])</f>
        <v>126</v>
      </c>
      <c r="L154" s="56">
        <f>COUNT(Table5[S])</f>
        <v>146</v>
      </c>
      <c r="M154" s="22">
        <f>COUNT(Table5[CycleCnt])</f>
        <v>112</v>
      </c>
      <c r="N154" s="22">
        <f>COUNT(Table5[WorkLoad])</f>
        <v>88</v>
      </c>
      <c r="O154" s="22">
        <f>COUNT(Table5[MTBF])</f>
        <v>104</v>
      </c>
      <c r="P154" s="53">
        <f>COUNT(Table5[RErrRate])</f>
        <v>140</v>
      </c>
      <c r="Q154" s="151">
        <f>COUNT(Table5[MaxStartupWatts])</f>
        <v>80</v>
      </c>
      <c r="R154" s="152">
        <f>COUNT(Table5[Watts Active])</f>
        <v>140</v>
      </c>
      <c r="S154" s="152">
        <f>COUNT(Table5[Watts Idle])</f>
        <v>144</v>
      </c>
      <c r="T154" s="152">
        <f>COUNT(Table5[WattsStandby])</f>
        <v>77</v>
      </c>
      <c r="U154" s="152">
        <f>COUNT(Table5[Energy$year])</f>
        <v>142</v>
      </c>
      <c r="V154" s="153">
        <f>COUNT(Table5[Energy$yearPerTB])</f>
        <v>142</v>
      </c>
      <c r="W154" s="56">
        <f>COUNT(Table5[Cost])</f>
        <v>141</v>
      </c>
      <c r="X154" s="53">
        <f>COUNT(Table5[$ TB])</f>
        <v>147</v>
      </c>
      <c r="Y154" s="21">
        <f>COUNT(Table5[$ TB])</f>
        <v>147</v>
      </c>
      <c r="Z154" s="22">
        <f>COUNT(Table5[$PerTB])</f>
        <v>147</v>
      </c>
      <c r="AA154" s="150">
        <f>COUNTA(Table5[$ TB/year])</f>
        <v>147</v>
      </c>
      <c r="AB154" s="192">
        <f>COUNTA(Table5[DBA_Idle])</f>
        <v>96</v>
      </c>
      <c r="AC154" s="193">
        <f>COUNTA(Table5[DBA_Seek])</f>
        <v>79</v>
      </c>
    </row>
    <row r="157" spans="1:30" ht="15.75" thickBot="1" x14ac:dyDescent="0.3"/>
    <row r="158" spans="1:30" ht="15.75" thickBot="1" x14ac:dyDescent="0.3">
      <c r="A158" s="210" t="s">
        <v>153</v>
      </c>
      <c r="B158" s="211"/>
      <c r="C158" s="225"/>
      <c r="D158" s="226"/>
      <c r="E158" s="99"/>
    </row>
    <row r="159" spans="1:30" ht="15.75" thickBot="1" x14ac:dyDescent="0.3">
      <c r="A159" s="212">
        <f>MAX(Table5[Date])</f>
        <v>43298</v>
      </c>
      <c r="B159" s="213"/>
      <c r="C159" s="25" t="s">
        <v>19</v>
      </c>
      <c r="D159" s="33">
        <v>0.125</v>
      </c>
      <c r="E159" s="104"/>
      <c r="G159" s="28"/>
    </row>
    <row r="160" spans="1:30" ht="15.75" thickBot="1" x14ac:dyDescent="0.3">
      <c r="C160" s="25" t="s">
        <v>28</v>
      </c>
      <c r="D160" s="26">
        <v>0.2</v>
      </c>
      <c r="E160" s="105"/>
      <c r="G160" s="29"/>
    </row>
    <row r="161" spans="1:10" ht="15.75" thickBot="1" x14ac:dyDescent="0.3">
      <c r="A161" s="210" t="s">
        <v>68</v>
      </c>
      <c r="B161" s="211"/>
      <c r="C161" s="25" t="s">
        <v>33</v>
      </c>
      <c r="D161" s="27">
        <v>5</v>
      </c>
      <c r="E161" s="4"/>
      <c r="G161" s="30"/>
    </row>
    <row r="162" spans="1:10" ht="15.75" thickBot="1" x14ac:dyDescent="0.3">
      <c r="A162" s="208">
        <f>MIN(Table5[Date])</f>
        <v>43027</v>
      </c>
      <c r="B162" s="209"/>
      <c r="C162" s="25" t="s">
        <v>45</v>
      </c>
      <c r="D162" s="26">
        <v>0.11</v>
      </c>
      <c r="E162" s="105"/>
      <c r="G162" s="29"/>
      <c r="J162" s="145"/>
    </row>
    <row r="163" spans="1:10" ht="15.75" thickBot="1" x14ac:dyDescent="0.3">
      <c r="C163" s="25" t="s">
        <v>29</v>
      </c>
      <c r="D163" s="32">
        <f>Days_in_Year*Hours_In_Day</f>
        <v>8765.76</v>
      </c>
      <c r="E163" s="30"/>
    </row>
    <row r="164" spans="1:10" ht="15.75" thickBot="1" x14ac:dyDescent="0.3">
      <c r="C164" s="25" t="s">
        <v>51</v>
      </c>
      <c r="D164" s="27">
        <v>24</v>
      </c>
      <c r="E164" s="4"/>
      <c r="G164" s="30"/>
      <c r="H164" s="30"/>
      <c r="I164" s="30"/>
    </row>
    <row r="165" spans="1:10" ht="15.75" thickBot="1" x14ac:dyDescent="0.3">
      <c r="C165" s="25" t="s">
        <v>53</v>
      </c>
      <c r="D165" s="27">
        <f>Days_In_Month*Hours_In_Day</f>
        <v>730.48</v>
      </c>
      <c r="E165" s="4"/>
      <c r="G165" s="30"/>
      <c r="H165" s="30"/>
      <c r="I165" s="30"/>
    </row>
    <row r="166" spans="1:10" ht="15.75" thickBot="1" x14ac:dyDescent="0.3">
      <c r="C166" s="25" t="s">
        <v>50</v>
      </c>
      <c r="D166" s="27">
        <f>Days_in_Year/Months_In_Year</f>
        <v>30.436666666666667</v>
      </c>
      <c r="E166" s="4"/>
    </row>
    <row r="167" spans="1:10" ht="15.75" thickBot="1" x14ac:dyDescent="0.3">
      <c r="C167" s="25" t="s">
        <v>56</v>
      </c>
      <c r="D167" s="27">
        <v>365.24</v>
      </c>
      <c r="E167" s="4"/>
    </row>
    <row r="168" spans="1:10" ht="15.75" thickBot="1" x14ac:dyDescent="0.3">
      <c r="C168" s="25" t="s">
        <v>52</v>
      </c>
      <c r="D168" s="27">
        <v>12</v>
      </c>
      <c r="E168" s="4"/>
      <c r="G168" s="30"/>
      <c r="H168" s="30"/>
      <c r="I168" s="30"/>
    </row>
    <row r="169" spans="1:10" ht="15.75" thickBot="1" x14ac:dyDescent="0.3">
      <c r="C169" s="25" t="s">
        <v>126</v>
      </c>
      <c r="D169" s="144">
        <v>1</v>
      </c>
    </row>
    <row r="170" spans="1:10" x14ac:dyDescent="0.25">
      <c r="C170" s="142"/>
      <c r="D170" s="143"/>
    </row>
    <row r="171" spans="1:10" x14ac:dyDescent="0.25">
      <c r="C171" s="141"/>
      <c r="D171" s="141"/>
    </row>
    <row r="172" spans="1:10" x14ac:dyDescent="0.25">
      <c r="A172" s="120" t="s">
        <v>39</v>
      </c>
    </row>
    <row r="173" spans="1:10" ht="15.75" thickBot="1" x14ac:dyDescent="0.3"/>
    <row r="174" spans="1:10" ht="15.75" thickBot="1" x14ac:dyDescent="0.3">
      <c r="B174" s="176" t="s">
        <v>141</v>
      </c>
      <c r="C174" s="176" t="s">
        <v>133</v>
      </c>
    </row>
    <row r="175" spans="1:10" ht="15.75" thickBot="1" x14ac:dyDescent="0.3">
      <c r="B175" s="157" t="s">
        <v>128</v>
      </c>
      <c r="C175" s="154" t="s">
        <v>129</v>
      </c>
    </row>
    <row r="176" spans="1:10" ht="15.75" thickBot="1" x14ac:dyDescent="0.3">
      <c r="B176" s="158" t="s">
        <v>127</v>
      </c>
      <c r="C176" s="155" t="s">
        <v>130</v>
      </c>
    </row>
    <row r="177" spans="2:3" ht="30.75" thickBot="1" x14ac:dyDescent="0.3">
      <c r="B177" s="159" t="s">
        <v>49</v>
      </c>
      <c r="C177" s="156" t="s">
        <v>131</v>
      </c>
    </row>
    <row r="178" spans="2:3" ht="30.75" thickBot="1" x14ac:dyDescent="0.3">
      <c r="B178" s="158" t="s">
        <v>110</v>
      </c>
      <c r="C178" s="155" t="s">
        <v>132</v>
      </c>
    </row>
    <row r="180" spans="2:3" x14ac:dyDescent="0.25">
      <c r="C180" t="s">
        <v>154</v>
      </c>
    </row>
    <row r="181" spans="2:3" x14ac:dyDescent="0.25">
      <c r="C181" s="120" t="s">
        <v>151</v>
      </c>
    </row>
  </sheetData>
  <sortState ref="A2:S61">
    <sortCondition ref="B2:B61"/>
    <sortCondition ref="C2:C61"/>
    <sortCondition ref="G2:G61"/>
  </sortState>
  <mergeCells count="12">
    <mergeCell ref="AB1:AC1"/>
    <mergeCell ref="A162:B162"/>
    <mergeCell ref="A161:B161"/>
    <mergeCell ref="A159:B159"/>
    <mergeCell ref="Y1:AA1"/>
    <mergeCell ref="W1:X1"/>
    <mergeCell ref="L1:P1"/>
    <mergeCell ref="Q1:V1"/>
    <mergeCell ref="C158:D158"/>
    <mergeCell ref="A158:B158"/>
    <mergeCell ref="G1:K1"/>
    <mergeCell ref="A1:F1"/>
  </mergeCells>
  <conditionalFormatting sqref="X3:X149">
    <cfRule type="top10" dxfId="87" priority="668" bottom="1" rank="20"/>
  </conditionalFormatting>
  <conditionalFormatting sqref="AA3:AA149">
    <cfRule type="top10" dxfId="86" priority="671" bottom="1" rank="20"/>
  </conditionalFormatting>
  <conditionalFormatting sqref="V3:V149">
    <cfRule type="colorScale" priority="674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9">
    <cfRule type="colorScale" priority="677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9">
    <cfRule type="top10" dxfId="85" priority="680" bottom="1" rank="20"/>
  </conditionalFormatting>
  <conditionalFormatting sqref="Y85">
    <cfRule type="top10" dxfId="84" priority="1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6:C119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7:C133" r:id="rId16" display="Gold Enterprise"/>
    <hyperlink ref="C144:C149" r:id="rId17" display="RED NAS Pro"/>
    <hyperlink ref="C136:C143" r:id="rId18" display="Red NAS"/>
    <hyperlink ref="C122:C126" r:id="rId19" display="Blue"/>
    <hyperlink ref="C114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72" r:id="rId25"/>
    <hyperlink ref="AD142:AD143" r:id="rId26" display="Helium filled"/>
    <hyperlink ref="AD131:AD133" r:id="rId27" display="Helium filled"/>
    <hyperlink ref="AD148:AD149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102:C104" r:id="rId36" display="N300"/>
    <hyperlink ref="C109:C113" r:id="rId37" display="X300"/>
    <hyperlink ref="C106:C108" r:id="rId38" display="P300"/>
    <hyperlink ref="C115" r:id="rId39"/>
    <hyperlink ref="C134:C135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4" r:id="rId47" display="https://www.newegg.com/Product/Product.aspx?Item=9SIA5AD5YN7412&amp;utm_medium=Email&amp;utm_source=GD110617&amp;cm_mmc=EMC-GD110617-_-landing-_-Item-_-9SIA5AD5YN7412"/>
    <hyperlink ref="W122" r:id="rId48" display="https://www.newegg.com/Product/Product.aspx?Item=22-236-339&amp;utm_medium=Email&amp;utm_source=GD110617&amp;cm_mmc=EMC-GD110617-_-landing-_-Item-_-22-236-339"/>
    <hyperlink ref="W139" r:id="rId49" display="https://www.newegg.com/Product/Product.aspx?Item=N82E16822236599&amp;utm_medium=Email&amp;utm_source=IGNEFL121417&amp;cm_mmc=EMC-IGNEFL121417-_-EMC-121417-Index-_-DesktopInternalHardDrives-_-22236599-S0E&amp;ignorebbr=1"/>
    <hyperlink ref="W138" r:id="rId50" display="http://www.newegg.com/Product/Product.aspx?Item=N82E16822236344&amp;utm_medium=Email&amp;utm_source=IGNEFL121917&amp;cm_mmc=EMC-IGNEFL121917-_-EMC-121917-Index-_-DesktopInternalHardDrives-_-22236344-S0I&amp;ignorebbr=1"/>
    <hyperlink ref="W104" r:id="rId51" display="http://www.newegg.com/Product/Product.aspx?Item=N82E16822149695&amp;utm_medium=Email&amp;utm_source=IGNEFL121517&amp;cm_mmc=EMC-IGNEFL121517-_-EMC-121517-Index-_-DesktopInternalHardDrives-_-22149695-S1A3C&amp;ignorebbr=1"/>
    <hyperlink ref="W103" r:id="rId52" display="https://www.newegg.com/Product/Product.aspx?item=N82E16822149696"/>
    <hyperlink ref="W102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D22" r:id="rId59" display="32GB NAND, media caching"/>
    <hyperlink ref="AD24" r:id="rId60" display="Helium filled, media caching"/>
    <hyperlink ref="AD130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9" r:id="rId65" display="https://www.newegg.com/Product/Product.aspx?Item=N82E16822235281&amp;ignorebbr=1"/>
    <hyperlink ref="W117" r:id="rId66" display="https://www.newegg.com/Product/Product.aspx?item=N82E16822236624"/>
    <hyperlink ref="W116" r:id="rId67" display="http://www.newegg.com/Product/Product.aspx?Item=N82E16822236625&amp;utm_medium=Email&amp;utm_source=IGNEFL121417&amp;cm_mmc=EMC-IGNEFL121417-_-EMC-121417-Index-_-DesktopInternalHardDrives-_-22236625-S1A1D&amp;ignorebbr=1"/>
    <hyperlink ref="W118" r:id="rId68" display="https://www.newegg.com/Product/Product.aspx?item=N82E16822235128"/>
    <hyperlink ref="W135" r:id="rId69" display="https://www.newegg.com/Product/Product.aspx?item=N82E16822236600"/>
    <hyperlink ref="W134" r:id="rId70" display="https://www.newegg.com/Product/Product.aspx?item=N82E16822236601"/>
    <hyperlink ref="W83" r:id="rId71" display="https://images10.newegg.com/ProductImageCompressAll300/22-179-103-S01.jpg?ex=2"/>
    <hyperlink ref="W84" r:id="rId72" display="https://www.amazon.com/Seagate-IronWolf-7200RPM-3-5-Inch-ST12000NE0007/dp/B075XNQYV1/ref=sr_1_3?ie=UTF8&amp;qid=1517108286&amp;sr=8-3&amp;keywords=14tb"/>
    <hyperlink ref="W81" r:id="rId73" display="https://smile.amazon.com/Seagate-IronWolf-7200RPM-256MB-3-5-Inch/dp/B07BDVBP1H/ref=sr_1_9?s=prime-day&amp;psr=PDAY&amp;ie=UTF8&amp;qid=1531855616&amp;sr=1-9&amp;keywords=seagate&amp;smid=ATVPDKIKX0DER"/>
    <hyperlink ref="W80" r:id="rId74" display="https://www.newegg.com/Product/Product.aspx?item=N82E16822179101"/>
    <hyperlink ref="W79" r:id="rId75" display="https://www.newegg.com/Product/Product.aspx?item=N82E16822179102"/>
    <hyperlink ref="W77" r:id="rId76" display="https://www.newegg.com/Product/Product.aspx?item=N82E16822178997"/>
    <hyperlink ref="W78" r:id="rId77" display="https://www.newegg.com/Product/Product.aspx?Item=N82E16822172025&amp;utm_medium=Email&amp;utm_source=EXPRESS112517&amp;cm_mmc=EMC-EXPRESS112517-_-EMC-112517-Index-_-DesktopInternalHardDrives-_-22172025-S1A3A&amp;ignorebbr=1"/>
    <hyperlink ref="W76" r:id="rId78" display="https://smile.amazon.com/Seagate-IronWolf-3-5-Inch-Internal-ST8000VN0022/dp/B01M1BUBSO/ref=sr_1_cc_1?s=aps&amp;psr=PDAY&amp;ie=UTF8&amp;qid=1531855197&amp;sr=1-1-catcorr&amp;keywords=ironwolf"/>
    <hyperlink ref="W75" r:id="rId79" display="https://smile.amazon.com/Seagate-IronWolf-3-5-Inch-Internal-ST6000VN0041/dp/B01LZDFMWQ/ref=sr_1_cc_2?s=aps&amp;psr=PDAY&amp;ie=UTF8&amp;qid=1531855197&amp;sr=1-2-catcorr&amp;keywords=ironwolf"/>
    <hyperlink ref="W74" r:id="rId80" display="https://smile.amazon.com/Seagate-IronWolf-3-5-Inch-Internal-ST4000VN008/dp/B01LOOJBQY/ref=sr_1_cc_7?s=aps&amp;psr=PDAY&amp;ie=UTF8&amp;qid=1531855616&amp;sr=1-7-catcorr&amp;keywords=seagate"/>
    <hyperlink ref="W73" r:id="rId81" display="https://smile.amazon.com/Seagate-IronWolf-Cache-3-5-Inch-Internal/dp/B01LOOJBRI/ref=sr_1_1?s=prime-day&amp;psr=PDAY&amp;ie=UTF8&amp;qid=1531854865&amp;sr=1-1&amp;keywords=seagate+ironwolf&amp;smid=ATVPDKIKX0DER&amp;dpID=511zrEsez3L&amp;preST=_SY300_QL70_&amp;dpSrc=srch"/>
    <hyperlink ref="W71" r:id="rId82" display="https://www.newegg.com/Product/Product.aspx?item=N82E16822179008"/>
    <hyperlink ref="W17" r:id="rId83" display="https://www.newegg.com/Product/Product.aspx?item=N82E16822146076"/>
    <hyperlink ref="W15" r:id="rId84" display="https://www.newegg.com/Product/Product.aspx?item=N82E16822146071"/>
    <hyperlink ref="W14" r:id="rId85" display="https://www.newegg.com/Product/Product.aspx?item=N82E16822146067"/>
    <hyperlink ref="W16" r:id="rId86" display="https://www.newegg.com/Product/Product.aspx?Item=9SIA25V4XG7457&amp;cm_re=Ultrastar_7K6000_5tb-_-9SIA25V4XG7457-_-Product"/>
    <hyperlink ref="W132" r:id="rId87" display="https://www.newegg.com/Product/Product.aspx?Item=N82E16822235131&amp;cm_re=wd_gold_enterprise-_-22-235-131-_-Product"/>
    <hyperlink ref="W133" r:id="rId88" display="https://www.newegg.com/Product/Product.aspx?item=N82E16822232560"/>
    <hyperlink ref="W131" r:id="rId89" display="https://www.newegg.com/Product/Product.aspx?item=N82E16822232558"/>
    <hyperlink ref="W130" r:id="rId90" display="https://www.newegg.com/Product/Product.aspx?item=N82E16822235059"/>
    <hyperlink ref="W129" r:id="rId91" display="https://www.amazon.com/Gold-Enterprise-Class-Hard-Drive/dp/B01AV1697A?SubscriptionId=AKIAILSHYYTFIVPWUY6Q&amp;tag=duckduckgo-ffsb-20&amp;linkCode=xm2&amp;camp=2025&amp;creative=165953&amp;creativeASIN=B01AV1697A&amp;th=1"/>
    <hyperlink ref="W128" r:id="rId92" display="http://www.newegg.com/Product/Product.aspx?Item=1Z4-0002-002V0&amp;utm_medium=Email&amp;utm_source=IGNEFL112217&amp;cm_mmc=EMC-IGNEFL112217-_-EMC-112217-Index-_-DesktopInternalHardDrives-_-1Z4-0002-002V0-S1A1D&amp;ignorebbr=1"/>
    <hyperlink ref="W127" r:id="rId93" display="http://www.newegg.com/Product/Product.aspx?Item=1Z4-0002-002U9&amp;utm_medium=Email&amp;utm_source=IGNEFL010418&amp;cm_mmc=EMC-IGNEFL010418-_-EMC-010418-Index-_-DesktopInternalHardDrives-_-1Z4-0002-002U9-S1A5B&amp;ignorebbr=1"/>
    <hyperlink ref="W37" r:id="rId94" display="https://smile.amazon.com/Seagate-BarraCuda-Cache-Desktop-ST2000DM006/dp/B01IEKG402/ref=sr_1_cc_2?s=aps&amp;psr=PDAY&amp;ie=UTF8&amp;qid=1531855616&amp;sr=1-2-catcorr&amp;keywords=seagate"/>
    <hyperlink ref="W4" r:id="rId95" display="https://smile.amazon.com/HGST-Deskstar-HDN726060ALE610-Internal-Drive/dp/B00O0M5QK8/ref=sr_1_2?s=prime-day&amp;ie=UTF8&amp;qid=1531855963&amp;sr=8-2&amp;keywords=hgst+deskstar&amp;dpID=51jQaMAu5gL&amp;preST=_SY300_QL70_&amp;dpSrc=srch"/>
    <hyperlink ref="W29" r:id="rId96" display="https://www.newegg.com/Product/Product.aspx?item=N82E16822178750"/>
    <hyperlink ref="W30" r:id="rId97" display="https://www.amazon.com/Seagate-Archive-6GBps-128MB-ST8000AS0002/dp/B00XS423SC/ref=pd_sim_147_30?_encoding=UTF8&amp;psc=1&amp;refRID=FT0YK268QJANC6JV5911"/>
    <hyperlink ref="W28" r:id="rId98" display="https://www.newegg.com/Product/Product.aspx?item=9SIA4A04NB8762"/>
    <hyperlink ref="C28" r:id="rId99"/>
    <hyperlink ref="C29" r:id="rId100"/>
    <hyperlink ref="C30" r:id="rId101"/>
    <hyperlink ref="Q27" r:id="rId102" display="http://www.hgst.com/sites/default/files/resources/UltrastarHs14-SATA-OEMSpec-R1.0.pdf"/>
    <hyperlink ref="W6" r:id="rId103" display="https://www.newegg.com/Product/Product.aspx?Item=N82E16822146148&amp;ignorebbr=1"/>
    <hyperlink ref="W123" r:id="rId104" display="http://www.newegg.com/Product/Product.aspx?Item=N82E16822235013&amp;utm_medium=Email&amp;utm_source=IGNEFL122417&amp;cm_mmc=EMC-IGNEFL122417-_-EMC-122417-Index-_-DesktopInternalHardDrives-_-22235013-S2A2D&amp;ignorebbr=1"/>
    <hyperlink ref="W142" r:id="rId105" display="http://www.newegg.com/Product/Product.aspx?Item=N82E16822235063&amp;utm_medium=Email&amp;utm_source=IGNEFL121517&amp;cm_mmc=EMC-IGNEFL121517-_-EMC-121517-Index-_-DesktopInternalHardDrives-_-22235063-S1A3B&amp;ignorebbr=1"/>
    <hyperlink ref="W141" r:id="rId106" display="https://www.newegg.com/Product/Product.aspx?Item=22-236-737&amp;utm_medium=Email&amp;utm_source=GD012918&amp;cm_mmc=EMC-GD012918-_-landing-_-Item-_-22-236-737"/>
    <hyperlink ref="C9" r:id="rId107" display="Ultrastar 7K6"/>
    <hyperlink ref="C10" r:id="rId108" display="Ultrastar 7K6"/>
    <hyperlink ref="C9:C10" r:id="rId109" display="Ultrastar 7K200"/>
    <hyperlink ref="W24" r:id="rId110" display="https://www.cdw.com/shop/products/HGST-Ultrastar-He8-HUH728080ALE600-hard-drive-8-TB-SATA-6Gb-s/3546681.aspx?pfm=srh"/>
    <hyperlink ref="W25" r:id="rId111" display="https://www.newegg.com/Product/Product.aspx?Item=9SIA9945X11461&amp;cm_re=ultrastar_he12-_-9SIA9945X11461-_-Product"/>
    <hyperlink ref="W5" r:id="rId112" display="https://www.newegg.com/Product/Product.aspx?item=N82E16822146142"/>
    <hyperlink ref="W32" r:id="rId113" display="https://www.newegg.com/Product/Product.aspx?Item=N82E16822179107&amp;utm_medium=Email&amp;utm_source=IGNEFL112717&amp;cm_mmc=EMC-IGNEFL112717-_-EMC-112717-Index-_-LaptopInternalHardDrives-_-22179107-S1A1C&amp;ignorebbr=1"/>
    <hyperlink ref="W39" r:id="rId114" display="https://www.newegg.com/Product/Product.aspx?Item=N82E16822179009&amp;utm_medium=Email&amp;utm_source=IGNEFL112717&amp;cm_mmc=EMC-IGNEFL112717-_-EMC-112717-Index-_-DesktopInternalHardDrives-_-22179009-S1A2D&amp;ignorebbr=1"/>
    <hyperlink ref="W26" r:id="rId115" display="https://www.cdw.com/shop/products/HGST-Ultrastar-HE12-HUH721212ALE600-hard-drive-12-TB-SATA-6Gb-s/4706469.aspx?pfm=srh"/>
    <hyperlink ref="W44" r:id="rId116" display="https://smile.amazon.com/Seagate-BarraCuda-256MB-3-5-Inch-Internal/dp/B01LOOJBH8/ref=sr_1_6?s=prime-day&amp;psr=PDAY&amp;ie=UTF8&amp;qid=1531855616&amp;sr=1-6&amp;keywords=seagate&amp;smid=ATVPDKIKX0DER"/>
    <hyperlink ref="W45" r:id="rId117" display="https://www.newegg.com/Product/Product.aspx?Item=22-179-270&amp;Tpk=22-179-270"/>
    <hyperlink ref="W46" r:id="rId118" display="https://smile.amazon.com/Seagate-BarraCuda-3-5-Inch-Internal-ST10000DM0004/dp/B01IA9H22Q/ref=sr_1_cc_9?s=aps&amp;psr=PDAY&amp;ie=UTF8&amp;qid=1531855197&amp;sr=1-9-catcorr&amp;keywords=ironwolf"/>
    <hyperlink ref="W47" r:id="rId119" display="https://www.newegg.com/Product/Product.aspx?Item=22-172-024&amp;Tpk=22-172-024"/>
    <hyperlink ref="C45:C47" r:id="rId120" display="BarraCuda Pro"/>
    <hyperlink ref="C42:C44" r:id="rId121" display="BarraCuda Pro"/>
    <hyperlink ref="W36" r:id="rId122" display="http://www.newegg.com/Product/Product.aspx?Item=N82E16822179010&amp;utm_medium=Email&amp;utm_source=IGNEFL113017&amp;cm_mmc=EMC-IGNEFL113017-_-EMC-113017-Index-_-DesktopInternalHardDrives-_-22179010-S2A1B&amp;ignorebbr=1"/>
    <hyperlink ref="W148" r:id="rId123" display="http://www.newegg.com/Product/Product.aspx?Item=N82E16822235120&amp;utm_medium=Email&amp;utm_source=IGNEFL120117&amp;cm_mmc=EMC-IGNEFL120117-_-EMC-120117-Index-_-DesktopInternalHardDrives-_-22235120-S1A1B&amp;ignorebbr=1"/>
    <hyperlink ref="W136" r:id="rId124" display="https://secure.neweggbusiness.com/new/shopping/shoppingcart.aspx"/>
    <hyperlink ref="W70" r:id="rId125" display="https://smile.amazon.com/Seagate-FireCuda-Gaming-Solid-Hybrid/dp/B01IEKG2HM/ref=sr_1_3?s=prime-day&amp;psr=PDAY&amp;ie=UTF8&amp;qid=1531854865&amp;sr=1-3&amp;keywords=seagate+ironwolf&amp;smid=ATVPDKIKX0DER&amp;dpID=51Q5JsfaKQL&amp;preST=_SY300_QL70_&amp;dpSrc=srch"/>
    <hyperlink ref="W115" r:id="rId126" display="https://www.newegg.com/Product/Product.aspx?Item=N82E16822235089&amp;utm_medium=Email&amp;utm_source=EXPRESS122317&amp;cm_mmc=EMC-EXPRESS122317-_-EMC-122317-Index-_-LaptopInternalHardDrives-_-22235089-S0F&amp;ignorebbr=1"/>
    <hyperlink ref="W137" r:id="rId127" display="https://www.newegg.com/Product/ComboBundleDetails.aspx?ItemList=Combo.3842359&amp;utm_medium=Email&amp;utm_source=IGNEFL071218&amp;cm_mmc=EMC-IGNEFL071218-_-EMC-071218-Index-_-Combo-_-Combo3842359-S1A1A&amp;ignorebbr=1"/>
    <hyperlink ref="W125" r:id="rId128" display="https://www.newegg.com/Product/Product.aspx?Item=N82E16822235011&amp;ignorebbr=1"/>
    <hyperlink ref="W111" r:id="rId129" display="https://www.newegg.com/Product/Product.aspx?Item=N82E16822149629&amp;ignorebbr=1"/>
    <hyperlink ref="W62" r:id="rId130" display="https://www.newegg.com/Product/Product.aspx?item=1Z4-002P-00139"/>
    <hyperlink ref="W63" r:id="rId131" display="https://www.newegg.com/Product/Product.aspx?item=1Z4-002P-000N0"/>
    <hyperlink ref="W61" r:id="rId132" display="https://www.newegg.com/Product/Product.aspx?item=1Z4-002P-00141"/>
    <hyperlink ref="W59" r:id="rId133" display="https://www.newegg.com/Product/Product.aspx?item=1Z4-002P-00138"/>
    <hyperlink ref="W43" r:id="rId134" display="https://www.newegg.com/Product/Product.aspx?Item=22-179-129&amp;Tpk=22-179-129"/>
    <hyperlink ref="W87" r:id="rId135" display="http://www.newegg.com/Product/Product.aspx?Item=N82E16822149407&amp;utm_medium=Email&amp;utm_source=IGNEFL012518&amp;cm_mmc=EMC-IGNEFL012518-_-EMC-012518-Index-_-DesktopInternalHardDrives-_-22149407-S2A1C&amp;ignorebbr=1"/>
    <hyperlink ref="W86" r:id="rId136" display="https://www.newegg.com/Product/Product.aspx?item=N82E16822149382"/>
    <hyperlink ref="W88" r:id="rId137" display="https://www.newegg.com/Product/Product.aspx?item=N82E16822149408"/>
    <hyperlink ref="C94" r:id="rId138"/>
    <hyperlink ref="C94:C95" r:id="rId139" display="Enterprise Performance"/>
    <hyperlink ref="C97" r:id="rId140"/>
    <hyperlink ref="C92" r:id="rId141"/>
    <hyperlink ref="C93" r:id="rId142"/>
    <hyperlink ref="AD92" r:id="rId143"/>
    <hyperlink ref="AD93" r:id="rId144"/>
    <hyperlink ref="W95" r:id="rId145" display="https://www.newegg.com/Product/Product.aspx?Item=9SIA5EM5NM4192"/>
    <hyperlink ref="W38" r:id="rId146" display="https://www.newegg.com/Product/Product.aspx?Item=N82E16822178994&amp;ignorebbr=1"/>
    <hyperlink ref="W90" r:id="rId147" display="https://www.newegg.com/Product/Product.aspx?Item=1Z4-002P-000N0&amp;ignorebbr=1"/>
    <hyperlink ref="W66" r:id="rId148" display="https://www.newegg.com/Product/Product.aspx?Item=9SIA4M56WV0609&amp;cm_re=seagate_x12-_-9SIA4M56WV0609-_-Product"/>
    <hyperlink ref="W143" r:id="rId149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42" r:id="rId150" display="https://www.newegg.com/Product/Product.aspx?Item=22-179-130&amp;Tpk=22-179-130"/>
    <hyperlink ref="W147" r:id="rId151" display="http://www.newegg.com/Product/Product.aspx?Item=N82E16822235065&amp;utm_medium=Email&amp;utm_source=IGNEFL121517&amp;cm_mmc=EMC-IGNEFL121517-_-EMC-121517-Index-_-DesktopInternalHardDrives-_-22235065-S1A3A&amp;ignorebbr=1"/>
    <hyperlink ref="W106" r:id="rId152" display="https://www.newegg.com/Product/Product.aspx?Item=22-149-631&amp;Tpk=22-149-631"/>
    <hyperlink ref="W107" r:id="rId153" display="https://www.newegg.com/Product/Product.aspx?Item=22-149-632&amp;Tpk=22-149-632"/>
    <hyperlink ref="W108" r:id="rId154" display="https://www.newegg.com/Product/Product.aspx?Item=22-149-633&amp;Tpk=22-149-633"/>
    <hyperlink ref="C96" r:id="rId155"/>
    <hyperlink ref="W10" r:id="rId156" display="https://www.ebay.com/itm/HGST-Deskstar-7K2000-HDS722020ALA330-2TB-SATA-3-5-Internal-Hard-Drive/201826555832?epid=170151221&amp;hash=item2efdccd7b8:m:mvS_lQfe070JKO8PGvJJ9vw"/>
    <hyperlink ref="W9" r:id="rId157" display="https://www.ebay.com/itm/Hitachi-Ultrastar-HDD-1-0TB-7200RPM-32MB-SATA2-A7K2000-3-5-Desktop-Hard-Drive/261814211120?hash=item3cf557d230:g:K7kAAOSw34FVBxdH"/>
    <hyperlink ref="W34" r:id="rId158" display="https://www.newegg.com/Product/Product.aspx?Item=22-179-009&amp;utm_medium=Email&amp;utm_source=GD010318&amp;cm_mmc=EMC-GD010318-_-landing-_-Item-_-22-179-009"/>
    <hyperlink ref="W144" r:id="rId159" display="https://www.newegg.com/Product/Product.aspx?Item=1Z4-0002-002R5&amp;cm_re=wd_red_nas_2.5-_-1Z4-0002-002R5-_-Product"/>
    <hyperlink ref="W124" r:id="rId160" display="http://www.newegg.com/Product/Product.aspx?Item=N82E16822235012&amp;utm_medium=Email&amp;utm_source=IGNEFL010518&amp;cm_mmc=EMC-IGNEFL010518-_-EMC-010518-Index-_-DesktopInternalHardDrives-_-22235012-S1A5B&amp;ignorebbr=1"/>
    <hyperlink ref="C13" r:id="rId161"/>
    <hyperlink ref="W13" r:id="rId162" display="https://smile.amazon.com/HGST-Ultrastar-3-5-Inch-Enterprise-0F14683/dp/B007VL8WU6/ref=sr_1_8?s=prime-day&amp;ie=UTF8&amp;qid=1531855963&amp;sr=8-8&amp;keywords=hgst+deskstar"/>
    <hyperlink ref="W48" r:id="rId163" display="https://www.newegg.com/Product/Product.aspx?Item=9SIA5AD5WA7762&amp;utm_medium=Email&amp;utm_source=IGNEFL010418&amp;cm_mmc=EMC-IGNEFL010418-_-EMC-010418-Index-_-DesktopInternalHardDrives-_-9SIA5AD5WA7762-S1A6B&amp;ignorebbr=1"/>
    <hyperlink ref="C48" r:id="rId164"/>
    <hyperlink ref="C181" r:id="rId165" display="1 dB = .1 B (bel)"/>
    <hyperlink ref="W41" r:id="rId166" display="https://smile.amazon.com/Seagate-Drives-Barracuda-3-5-Inch-Internal/dp/B075WYBQXJ/ref=sr_1_2?s=prime-day&amp;psr=PDAY&amp;ie=UTF8&amp;qid=1531854865&amp;sr=1-2&amp;keywords=seagate+ironwolf&amp;smid=ATVPDKIKX0DER&amp;dpID=51eCqVfTTNL&amp;preST=_SY300_QL70_&amp;dpSrc=srch"/>
    <hyperlink ref="W35" r:id="rId167" display="https://www.newegg.com/Product/Product.aspx?Item=N82E16822179104"/>
    <hyperlink ref="W7" r:id="rId168" display="https://www.newegg.com/Product/Product.aspx?Item=N82E16822145584"/>
    <hyperlink ref="C19" r:id="rId169" display="Ultrastar C10K1200"/>
    <hyperlink ref="W19" r:id="rId170" display="https://www.newegg.com/Product/Product.aspx?Item=9SIA99462P4004"/>
    <hyperlink ref="C120:C121" r:id="rId171" display="Blue"/>
    <hyperlink ref="W120" r:id="rId172" display="https://www.newegg.com/Product/Product.aspx?item=N82E16822236496"/>
    <hyperlink ref="W121" r:id="rId173" display="https://www.newegg.com/Product/Product.aspx?item=1B0-0020-000G1"/>
    <hyperlink ref="W31" r:id="rId174" display="https://www.newegg.com/Product/Product.aspx?Item=N82E16822179108"/>
    <hyperlink ref="C67:C68" r:id="rId175" location="2-5-inch-specs" display="FireCuda SSHD"/>
    <hyperlink ref="W68" r:id="rId176" display="http://www.newegg.com/Product/Product.aspx?Item=N82E16822179110&amp;utm_medium=Email&amp;utm_source=IGNEFL121917&amp;cm_mmc=EMC-IGNEFL121917-_-EMC-121917-Index-_-LaptopInternalHardDrives-_-22179110-S2A3A&amp;ignorebbr=1"/>
    <hyperlink ref="W67" r:id="rId177" display="https://smile.amazon.com/Seagate-Firecuda-2-5-Inch-Internal-ST1000LX015/dp/B01LWRTRZU/ref=sr_1_cc_8?s=aps&amp;psr=PDAY&amp;ie=UTF8&amp;qid=1531855616&amp;sr=1-8-catcorr&amp;keywords=seagate"/>
    <hyperlink ref="W33" r:id="rId178" display="https://www.newegg.com/Product/Product.aspx?Item=N82E16822179106"/>
    <hyperlink ref="W54" r:id="rId179" display="https://www.newegg.com/Product/Product.aspx?Item=9SIA5AD6KR4743"/>
    <hyperlink ref="W57" r:id="rId180" display="https://www.newegg.com/Product/Product.aspx?Item=9SIAAEE6CZ1509"/>
    <hyperlink ref="W56" r:id="rId181" display="https://www.newegg.com/Product/Product.aspx?Item=9SIA5AD6KR4743"/>
    <hyperlink ref="W58" r:id="rId182" display="https://www.newegg.com/Product/Product.aspx?item=1Z4-002P-00142"/>
    <hyperlink ref="C49" r:id="rId183"/>
    <hyperlink ref="W49" r:id="rId184" display="https://www.newegg.com/Product/Product.aspx?Item=9SIAAEE6NW9609"/>
    <hyperlink ref="W100" r:id="rId185" display="https://www.newegg.com/Product/Product.aspx?Item=N82E16822149667&amp;cm_re=2.5%22_toshiba-_-22-149-667-_-Product"/>
    <hyperlink ref="C100" r:id="rId186"/>
    <hyperlink ref="C12" r:id="rId187"/>
    <hyperlink ref="C11" r:id="rId188"/>
    <hyperlink ref="W69" r:id="rId189" display="https://www.newegg.com/Product/Product.aspx?Item=N82E16822178995&amp;utm_medium=Email&amp;utm_source=IGNEFL011618C&amp;cm_mmc=EMC-IGNEFL011618C-_-EMC-011618-Latest-_-DesktopInternalHardDrives-_-22178995-S1A1C&amp;ignorebbr=1"/>
    <hyperlink ref="W50" r:id="rId190" display="https://www.newegg.com/Product/Product.aspx?Item=9SIA5EM6HG5028&amp;cm_re=segate_2.5%22_disk_drive-_-1B4-00VK-00017-_-Product"/>
    <hyperlink ref="W51" r:id="rId191" display="https://www.newegg.com/Product/Product.aspx?Item=9SIA6ZP6P20888&amp;cm_re=segate_2.5%22_disk_drive-_-1Z4-002P-008Z8-_-Product"/>
    <hyperlink ref="W12" r:id="rId192" display="https://www.cdw.com/shop/products/HGST-Ultrastar-7K4000-HUS724030ALS640-hard-drive-3-TB-SAS-6Gb-s/3341368.aspx"/>
    <hyperlink ref="C24" r:id="rId193"/>
    <hyperlink ref="W3" r:id="rId194" display="https://www.newegg.com/Product/ComboBundleDetails.aspx?ItemList=Combo.3836695&amp;utm_medium=Email&amp;utm_source=IGNEFL062918&amp;cm_mmc=EMC-IGNEFL062918-_-EMC-062918-Index-_-Combo-_-Blitz-Combo3836695-S0&amp;ignorebbr=1"/>
    <hyperlink ref="W149" r:id="rId195" display="https://www.newegg.com/Product/Product.aspx?item=N82E16822231547"/>
    <hyperlink ref="W146" r:id="rId196" display="https://www.newegg.com/Product/Product.aspx?item=N82E16822235064"/>
    <hyperlink ref="W11" r:id="rId197" display="https://www.newegg.com/Product/Product.aspx?Item=N82E16822145620"/>
    <hyperlink ref="W27" r:id="rId198" display="http://optocrypto.com/2017/10/04/western-digital-launches-new-hgst-ultrastar-hs14-14tb-hard-drive/"/>
    <hyperlink ref="W52" r:id="rId199" display="http://www.sears.com/seagate-st900mp0146-900gb-2.5-sas-15k-rpm/p-SPM8883839723"/>
    <hyperlink ref="W89" r:id="rId200" display="https://www.ebay.com/itm/NEW-HGST-HDD-6TB-SAS-12GB-S-ULTRASTAR-7K6000-0F22919-0F22810-WD-WDC-GOLD-RE-0F/292311517557?epid=595133558&amp;hash=item440f1fc975:g:XiEAAOSw-olZ9tZu"/>
    <hyperlink ref="W98" r:id="rId201" display="https://www.newegg.com/Product/Product.aspx?Item=9SIA6CC6KC0450"/>
    <hyperlink ref="W97" r:id="rId202" display="https://www.newegg.com/Product/Product.aspx?Item=9SIA5EM5NM4360"/>
    <hyperlink ref="W126" r:id="rId203" display="https://www.newegg.com/Product/Product.aspx?Item=9SIA67S3GU1425&amp;cm_re=WD_blue_6tb-_-22-235-009-_-Product"/>
    <hyperlink ref="W145" r:id="rId204" display="https://www.newegg.com/Product/Product.aspx?Item=9SIAAEE6P41222&amp;cm_re=wd_pro_3tb-_-22-236-740-_-Product"/>
    <hyperlink ref="W140" r:id="rId205" display="https://www.newegg.com/Product/Product.aspx?Item=9SIA67S3GU1457&amp;cm_re=WD_red_nas_5tb-_-22-236-738-_-Product"/>
    <hyperlink ref="W109" r:id="rId206" display="https://www.newegg.com/Product/Product.aspx?Item=N82E16822149644"/>
    <hyperlink ref="C60" r:id="rId207"/>
    <hyperlink ref="W60" r:id="rId208" display="https://www.newegg.com/Product/Product.aspx?item=1Z4-002P-00148"/>
    <hyperlink ref="W40" r:id="rId209" display="https://www.newegg.com/Product/Product.aspx?item=9SIA2F86R49684"/>
    <hyperlink ref="W85" r:id="rId210" display="https://www.newegg.com/Product/Product.aspx?Item=9SIA24G1S88436&amp;cm_re=terascale-_-22-178-401-_-Product"/>
    <hyperlink ref="W18" r:id="rId211" display="https://www.newegg.com/Product/Product.aspx?Item=2RC-00D4-000H4&amp;ignorebbr=1&amp;cm_re=ultrastar_7k6000-_-2RC-00D4-000H4-_-Product"/>
    <hyperlink ref="W65" r:id="rId212" display="https://www.newegg.com/Product/Product.aspx?item=N82E16822178941"/>
    <hyperlink ref="W64" r:id="rId213" display="https://www.cdw.com/product/Seagate-Enterprise-Capacity-3.5-HDD-ST8000NM0055-hard-drive-8-TB-SATA/3851249?pfm=srh"/>
    <hyperlink ref="W99" r:id="rId214" display="https://www.newegg.com/Product/Product.aspx?Item=1Z4-000B-001U4&amp;cm_re=2.5%22_toshiba-_-1Z4-000B-001U4-_-Product"/>
    <hyperlink ref="C105" r:id="rId215"/>
    <hyperlink ref="C101" r:id="rId216"/>
    <hyperlink ref="C112" r:id="rId217"/>
    <hyperlink ref="W112" r:id="rId218" display="http://www.newegg.com/Product/Product.aspx?Item=N82E16822149698&amp;utm_medium=Email&amp;utm_source=IGNEFL010418&amp;cm_mmc=EMC-IGNEFL010418-_-EMC-010418-Index-_-DesktopInternalHardDrives-_-22149698-S1A5A&amp;ignorebbr=1"/>
    <hyperlink ref="W94" r:id="rId219" display="https://www.newegg.com/Product/Product.aspx?Item=9SIA5EM5NM4142"/>
    <hyperlink ref="W82" r:id="rId220" display="https://www.ebay.com/itm/NEW-SEAGATE-NAS-HDD-8TB-7200RPM-ST8000NC0002-SATA-WD-RED-IRONWOLF-PRO-TERASCALE/292239419204?epid=2110441349&amp;hash=item440ad3a744:g:hgoAAOSw81dZrN2K"/>
    <hyperlink ref="W113" r:id="rId221" display="https://www.newegg.com/Product/Product.aspx?Item=9SIA0ZX7WE5979&amp;cm_re=toshiba_x300-_-22-149-728-_-Product"/>
  </hyperlinks>
  <printOptions headings="1"/>
  <pageMargins left="0.3" right="0.3" top="0.75" bottom="0.75" header="0.3" footer="0.3"/>
  <pageSetup scale="42" fitToHeight="4" orientation="landscape" r:id="rId222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6 Q150:Q153" formula="1"/>
    <ignoredError sqref="Y5" calculatedColumn="1"/>
  </ignoredErrors>
  <drawing r:id="rId223"/>
  <legacyDrawing r:id="rId224"/>
  <tableParts count="1">
    <tablePart r:id="rId2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A78" sqref="A78"/>
    </sheetView>
  </sheetViews>
  <sheetFormatPr defaultRowHeight="15" x14ac:dyDescent="0.25"/>
  <cols>
    <col min="1" max="1" width="13.140625" bestFit="1" customWidth="1"/>
    <col min="2" max="2" width="27.140625" bestFit="1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48</v>
      </c>
      <c r="B2" s="89" t="s">
        <v>49</v>
      </c>
    </row>
    <row r="3" spans="1:4" x14ac:dyDescent="0.25">
      <c r="A3" s="88" t="s">
        <v>85</v>
      </c>
      <c r="B3" s="108">
        <v>3.5</v>
      </c>
    </row>
    <row r="4" spans="1:4" x14ac:dyDescent="0.25">
      <c r="A4" s="233" t="s">
        <v>82</v>
      </c>
      <c r="B4" s="234"/>
    </row>
    <row r="5" spans="1:4" x14ac:dyDescent="0.25">
      <c r="A5" s="92" t="s">
        <v>77</v>
      </c>
      <c r="B5" s="93" t="s">
        <v>80</v>
      </c>
    </row>
    <row r="6" spans="1:4" x14ac:dyDescent="0.25">
      <c r="A6" s="91">
        <v>0.9</v>
      </c>
      <c r="B6" s="90">
        <v>92.657777777777767</v>
      </c>
    </row>
    <row r="7" spans="1:4" x14ac:dyDescent="0.25">
      <c r="A7" s="91">
        <v>1</v>
      </c>
      <c r="B7" s="90">
        <v>17.962926666666672</v>
      </c>
    </row>
    <row r="8" spans="1:4" x14ac:dyDescent="0.25">
      <c r="A8" s="91">
        <v>2</v>
      </c>
      <c r="B8" s="90">
        <v>13.791287999999998</v>
      </c>
    </row>
    <row r="9" spans="1:4" x14ac:dyDescent="0.25">
      <c r="A9" s="91">
        <v>3</v>
      </c>
      <c r="B9" s="90">
        <v>9.4482599999999994</v>
      </c>
    </row>
    <row r="10" spans="1:4" x14ac:dyDescent="0.25">
      <c r="A10" s="91">
        <v>4</v>
      </c>
      <c r="B10" s="90">
        <v>7.6608972727272722</v>
      </c>
      <c r="D10" s="87"/>
    </row>
    <row r="11" spans="1:4" x14ac:dyDescent="0.25">
      <c r="A11" s="91">
        <v>5</v>
      </c>
      <c r="B11" s="90">
        <v>11.714556000000002</v>
      </c>
    </row>
    <row r="12" spans="1:4" x14ac:dyDescent="0.25">
      <c r="A12" s="91">
        <v>6</v>
      </c>
      <c r="B12" s="90">
        <v>7.7891587878787893</v>
      </c>
    </row>
    <row r="13" spans="1:4" x14ac:dyDescent="0.25">
      <c r="A13" s="91">
        <v>8</v>
      </c>
      <c r="B13" s="90">
        <v>7.5836230000000002</v>
      </c>
    </row>
    <row r="14" spans="1:4" x14ac:dyDescent="0.25">
      <c r="A14" s="91">
        <v>10</v>
      </c>
      <c r="B14" s="90">
        <v>5.6202742222222222</v>
      </c>
    </row>
    <row r="15" spans="1:4" x14ac:dyDescent="0.25">
      <c r="A15" s="91">
        <v>12</v>
      </c>
      <c r="B15" s="90">
        <v>6.7393827777777782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81</v>
      </c>
      <c r="B17" s="90">
        <v>10.371492691705788</v>
      </c>
    </row>
    <row r="20" spans="1:2" x14ac:dyDescent="0.25">
      <c r="A20" s="88" t="s">
        <v>48</v>
      </c>
      <c r="B20" s="89" t="s">
        <v>49</v>
      </c>
    </row>
    <row r="21" spans="1:2" x14ac:dyDescent="0.25">
      <c r="A21" s="88" t="s">
        <v>85</v>
      </c>
      <c r="B21" s="108">
        <v>3.5</v>
      </c>
    </row>
    <row r="22" spans="1:2" x14ac:dyDescent="0.25">
      <c r="A22" s="238" t="s">
        <v>89</v>
      </c>
      <c r="B22" s="239"/>
    </row>
    <row r="23" spans="1:2" x14ac:dyDescent="0.25">
      <c r="A23" s="88" t="s">
        <v>77</v>
      </c>
      <c r="B23" s="89" t="s">
        <v>83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2.06287552</v>
      </c>
    </row>
    <row r="28" spans="1:2" x14ac:dyDescent="0.25">
      <c r="A28" s="91">
        <v>4</v>
      </c>
      <c r="B28" s="97">
        <v>1.7020516036363638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1.2288665818181819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0.6036199733333335</v>
      </c>
    </row>
    <row r="33" spans="1:2" x14ac:dyDescent="0.25">
      <c r="A33" s="91">
        <v>12</v>
      </c>
      <c r="B33" s="97">
        <v>0.49313487333333333</v>
      </c>
    </row>
    <row r="34" spans="1:2" x14ac:dyDescent="0.25">
      <c r="A34" s="91">
        <v>14</v>
      </c>
      <c r="B34" s="97">
        <v>0.38631956571428577</v>
      </c>
    </row>
    <row r="35" spans="1:2" x14ac:dyDescent="0.25">
      <c r="A35" s="108" t="s">
        <v>84</v>
      </c>
      <c r="B35" s="97">
        <v>1.8148845652645507</v>
      </c>
    </row>
    <row r="38" spans="1:2" x14ac:dyDescent="0.25">
      <c r="A38" s="88" t="s">
        <v>48</v>
      </c>
      <c r="B38" s="89" t="s">
        <v>49</v>
      </c>
    </row>
    <row r="39" spans="1:2" x14ac:dyDescent="0.25">
      <c r="A39" s="88" t="s">
        <v>85</v>
      </c>
      <c r="B39" s="108">
        <v>3.5</v>
      </c>
    </row>
    <row r="40" spans="1:2" x14ac:dyDescent="0.25">
      <c r="A40" s="236" t="s">
        <v>91</v>
      </c>
      <c r="B40" s="237"/>
    </row>
    <row r="41" spans="1:2" x14ac:dyDescent="0.25">
      <c r="A41" s="88" t="s">
        <v>77</v>
      </c>
      <c r="B41" s="89" t="s">
        <v>90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6.1886265600000003</v>
      </c>
    </row>
    <row r="46" spans="1:2" x14ac:dyDescent="0.25">
      <c r="A46" s="91">
        <v>4</v>
      </c>
      <c r="B46" s="97">
        <v>6.8082064145454551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7.3731994909090908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6.0361997333333335</v>
      </c>
    </row>
    <row r="51" spans="1:3" x14ac:dyDescent="0.25">
      <c r="A51" s="91">
        <v>12</v>
      </c>
      <c r="B51" s="97">
        <v>5.9176184800000007</v>
      </c>
    </row>
    <row r="52" spans="1:3" x14ac:dyDescent="0.25">
      <c r="A52" s="91">
        <v>14</v>
      </c>
      <c r="B52" s="97">
        <v>5.4084739200000005</v>
      </c>
    </row>
    <row r="53" spans="1:3" x14ac:dyDescent="0.25">
      <c r="A53" s="108" t="s">
        <v>84</v>
      </c>
      <c r="B53" s="97">
        <v>6.4081053633333322</v>
      </c>
    </row>
    <row r="57" spans="1:3" x14ac:dyDescent="0.25">
      <c r="A57" s="95" t="s">
        <v>48</v>
      </c>
      <c r="B57" t="s">
        <v>49</v>
      </c>
    </row>
    <row r="58" spans="1:3" x14ac:dyDescent="0.25">
      <c r="A58" s="95" t="s">
        <v>85</v>
      </c>
      <c r="B58" s="96">
        <v>3.5</v>
      </c>
      <c r="C58" s="107"/>
    </row>
    <row r="59" spans="1:3" x14ac:dyDescent="0.25">
      <c r="A59" s="235" t="s">
        <v>94</v>
      </c>
      <c r="B59" s="235"/>
    </row>
    <row r="60" spans="1:3" x14ac:dyDescent="0.25">
      <c r="A60" s="95" t="s">
        <v>77</v>
      </c>
      <c r="B60" t="s">
        <v>93</v>
      </c>
    </row>
    <row r="61" spans="1:3" x14ac:dyDescent="0.25">
      <c r="A61" s="109">
        <v>5400</v>
      </c>
      <c r="B61" s="83">
        <v>48.303091458333334</v>
      </c>
    </row>
    <row r="62" spans="1:3" x14ac:dyDescent="0.25">
      <c r="A62" s="110" t="s">
        <v>6</v>
      </c>
      <c r="B62" s="83">
        <v>48.303091458333334</v>
      </c>
    </row>
    <row r="63" spans="1:3" x14ac:dyDescent="0.25">
      <c r="A63" s="109">
        <v>5760</v>
      </c>
      <c r="B63" s="83">
        <v>47.986666666666672</v>
      </c>
    </row>
    <row r="64" spans="1:3" x14ac:dyDescent="0.25">
      <c r="A64" s="110" t="s">
        <v>6</v>
      </c>
      <c r="B64" s="83">
        <v>47.986666666666672</v>
      </c>
    </row>
    <row r="65" spans="1:2" x14ac:dyDescent="0.25">
      <c r="A65" s="109">
        <v>5900</v>
      </c>
      <c r="B65" s="83">
        <v>48.093823333333333</v>
      </c>
    </row>
    <row r="66" spans="1:2" x14ac:dyDescent="0.25">
      <c r="A66" s="110" t="s">
        <v>10</v>
      </c>
      <c r="B66" s="83">
        <v>48.093823333333333</v>
      </c>
    </row>
    <row r="67" spans="1:2" x14ac:dyDescent="0.25">
      <c r="A67" s="109">
        <v>7200</v>
      </c>
      <c r="B67" s="83">
        <v>45.758132540983603</v>
      </c>
    </row>
    <row r="68" spans="1:2" x14ac:dyDescent="0.25">
      <c r="A68" s="110" t="s">
        <v>15</v>
      </c>
      <c r="B68" s="83">
        <v>46.856273823529413</v>
      </c>
    </row>
    <row r="69" spans="1:2" x14ac:dyDescent="0.25">
      <c r="A69" s="110" t="s">
        <v>10</v>
      </c>
      <c r="B69" s="83">
        <v>53.38060287878789</v>
      </c>
    </row>
    <row r="70" spans="1:2" x14ac:dyDescent="0.25">
      <c r="A70" s="110" t="s">
        <v>41</v>
      </c>
      <c r="B70" s="83">
        <v>19.221055555555555</v>
      </c>
    </row>
    <row r="71" spans="1:2" x14ac:dyDescent="0.25">
      <c r="A71" s="110" t="s">
        <v>6</v>
      </c>
      <c r="B71" s="83">
        <v>49.794358974358971</v>
      </c>
    </row>
    <row r="72" spans="1:2" x14ac:dyDescent="0.25">
      <c r="A72" s="109">
        <v>15000</v>
      </c>
      <c r="B72" s="83">
        <v>463.28888888888883</v>
      </c>
    </row>
    <row r="73" spans="1:2" x14ac:dyDescent="0.25">
      <c r="A73" s="110" t="s">
        <v>10</v>
      </c>
      <c r="B73" s="83">
        <v>463.28888888888883</v>
      </c>
    </row>
    <row r="74" spans="1:2" x14ac:dyDescent="0.25">
      <c r="A74" s="109" t="s">
        <v>92</v>
      </c>
      <c r="B74" s="83">
        <v>51.702835380116959</v>
      </c>
    </row>
    <row r="77" spans="1:2" x14ac:dyDescent="0.25">
      <c r="A77" s="95" t="s">
        <v>48</v>
      </c>
      <c r="B77" t="s">
        <v>49</v>
      </c>
    </row>
    <row r="78" spans="1:2" x14ac:dyDescent="0.25">
      <c r="A78" s="95" t="s">
        <v>85</v>
      </c>
      <c r="B78" s="96">
        <v>3.5</v>
      </c>
    </row>
    <row r="79" spans="1:2" x14ac:dyDescent="0.25">
      <c r="A79" s="95" t="s">
        <v>1</v>
      </c>
      <c r="B79" t="s">
        <v>119</v>
      </c>
    </row>
    <row r="80" spans="1:2" x14ac:dyDescent="0.25">
      <c r="A80" s="95" t="s">
        <v>58</v>
      </c>
      <c r="B80" t="s">
        <v>101</v>
      </c>
    </row>
    <row r="82" spans="1:2" x14ac:dyDescent="0.25">
      <c r="A82" s="95" t="s">
        <v>77</v>
      </c>
      <c r="B82" t="s">
        <v>100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92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118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48</v>
      </c>
      <c r="E1" s="9" t="s">
        <v>26</v>
      </c>
      <c r="F1" s="63" t="s">
        <v>7</v>
      </c>
      <c r="G1" s="9" t="s">
        <v>64</v>
      </c>
      <c r="H1" s="9" t="s">
        <v>66</v>
      </c>
      <c r="I1" s="35" t="s">
        <v>63</v>
      </c>
      <c r="J1" s="64" t="s">
        <v>62</v>
      </c>
      <c r="K1" s="35" t="s">
        <v>25</v>
      </c>
      <c r="L1" s="24" t="s">
        <v>61</v>
      </c>
      <c r="M1" s="24" t="s">
        <v>60</v>
      </c>
      <c r="N1" s="24" t="s">
        <v>58</v>
      </c>
      <c r="O1" s="34" t="s">
        <v>59</v>
      </c>
      <c r="P1" s="36" t="s">
        <v>35</v>
      </c>
      <c r="Q1" s="24" t="s">
        <v>8</v>
      </c>
      <c r="R1" s="24" t="s">
        <v>9</v>
      </c>
      <c r="S1" s="37" t="s">
        <v>30</v>
      </c>
      <c r="T1" s="35" t="s">
        <v>2</v>
      </c>
      <c r="U1" s="37" t="s">
        <v>3</v>
      </c>
      <c r="V1" s="36" t="s">
        <v>32</v>
      </c>
      <c r="W1" s="24" t="s">
        <v>47</v>
      </c>
      <c r="X1" s="37" t="s">
        <v>20</v>
      </c>
      <c r="Y1" s="35" t="s">
        <v>31</v>
      </c>
      <c r="Z1" s="24" t="s">
        <v>21</v>
      </c>
      <c r="AA1" s="24" t="s">
        <v>46</v>
      </c>
      <c r="AB1" s="11" t="s">
        <v>40</v>
      </c>
    </row>
    <row r="2" spans="1:28" ht="15.75" thickTop="1" x14ac:dyDescent="0.25">
      <c r="D2" s="81" t="s">
        <v>49</v>
      </c>
      <c r="E2" s="82">
        <v>10</v>
      </c>
      <c r="T2" t="s">
        <v>70</v>
      </c>
    </row>
    <row r="4" spans="1:28" x14ac:dyDescent="0.25">
      <c r="A4" s="83">
        <f>DVAR('Drive Table'!$A$2:$AD$149,"Cost",$A$1:$AB$2)</f>
        <v>1619.9264285713932</v>
      </c>
      <c r="B4" t="s">
        <v>75</v>
      </c>
    </row>
    <row r="5" spans="1:28" x14ac:dyDescent="0.25">
      <c r="A5" s="83">
        <f>DAVERAGE('Drive Table'!$A$2:$AD$149,"Cost",$A$1:$AB$2)</f>
        <v>341.08000000000004</v>
      </c>
      <c r="B5" t="s">
        <v>71</v>
      </c>
    </row>
    <row r="6" spans="1:28" x14ac:dyDescent="0.25">
      <c r="A6" s="83">
        <f>DMIN('Drive Table'!$A$2:$AD$149,"Cost",$A$1:$AB$2)</f>
        <v>284.99</v>
      </c>
      <c r="B6" t="s">
        <v>72</v>
      </c>
    </row>
    <row r="7" spans="1:28" x14ac:dyDescent="0.25">
      <c r="A7" s="83">
        <f>DMAX('Drive Table'!$A$2:$AD$149,"Cost",$A$1:$AB$2)</f>
        <v>397.51</v>
      </c>
      <c r="B7" t="s">
        <v>73</v>
      </c>
    </row>
    <row r="8" spans="1:28" x14ac:dyDescent="0.25">
      <c r="A8">
        <f>DCOUNTA('Drive Table'!$A$2:$AD$149,"Cost",$A$1:$AB$2)</f>
        <v>8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2018-07-17T23:08:42Z</dcterms:modified>
</cp:coreProperties>
</file>