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Table'!$D$146</definedName>
    <definedName name="CompareWarrYrs">'Drive Table'!$D$147</definedName>
    <definedName name="CostPerKWH">'Drive Table'!$D$145</definedName>
    <definedName name="Day_in_Year">'Drive Table'!$D$153</definedName>
    <definedName name="Days_In_Month">'Drive Table'!$D$152</definedName>
    <definedName name="Days_in_Year">'Drive Table'!$D$153</definedName>
    <definedName name="Exchange_Rate">'Drive Table'!$D$155</definedName>
    <definedName name="Hours_In_Day">'Drive Table'!$D$150</definedName>
    <definedName name="Hours_In_Month">'Drive Table'!$D$151</definedName>
    <definedName name="Incremental_Warr_Yr">'Drive Table'!$D$148</definedName>
    <definedName name="Months_In_Year">'Drive Table'!$D$154</definedName>
    <definedName name="Power_On_Hours_Year">'Drive Table'!$D$149</definedName>
    <definedName name="_xlnm.Print_Titles" localSheetId="0">'Drive Table'!$1:$2</definedName>
  </definedNames>
  <calcPr calcId="152511"/>
  <pivotCaches>
    <pivotCache cacheId="9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4" i="1" l="1"/>
  <c r="Y25" i="1"/>
  <c r="Y26" i="1"/>
  <c r="AB136" i="1" l="1"/>
  <c r="AC136" i="1"/>
  <c r="AB137" i="1"/>
  <c r="AC137" i="1"/>
  <c r="AB138" i="1"/>
  <c r="AC138" i="1"/>
  <c r="AB139" i="1"/>
  <c r="AC139" i="1"/>
  <c r="AB140" i="1"/>
  <c r="AC140" i="1"/>
  <c r="P87" i="1" l="1"/>
  <c r="Y87" i="1"/>
  <c r="Z87" i="1" s="1"/>
  <c r="AA87" i="1" s="1"/>
  <c r="X87" i="1"/>
  <c r="J87" i="1"/>
  <c r="Y84" i="1" l="1"/>
  <c r="Z84" i="1" s="1"/>
  <c r="AA84" i="1" s="1"/>
  <c r="X84" i="1"/>
  <c r="J84" i="1"/>
  <c r="Y83" i="1"/>
  <c r="Z83" i="1" s="1"/>
  <c r="AA83" i="1" s="1"/>
  <c r="X83" i="1"/>
  <c r="J83" i="1"/>
  <c r="Y88" i="1"/>
  <c r="Z88" i="1" s="1"/>
  <c r="AA88" i="1" s="1"/>
  <c r="X88" i="1"/>
  <c r="P88" i="1"/>
  <c r="J88" i="1"/>
  <c r="Y85" i="1"/>
  <c r="Z85" i="1" s="1"/>
  <c r="AA85" i="1" s="1"/>
  <c r="X85" i="1"/>
  <c r="P85" i="1"/>
  <c r="J85" i="1"/>
  <c r="P79" i="1"/>
  <c r="P78" i="1"/>
  <c r="P77" i="1"/>
  <c r="Y79" i="1"/>
  <c r="Z79" i="1" s="1"/>
  <c r="AA79" i="1" s="1"/>
  <c r="X79" i="1"/>
  <c r="J79" i="1"/>
  <c r="Y78" i="1"/>
  <c r="Z78" i="1" s="1"/>
  <c r="AA78" i="1" s="1"/>
  <c r="X78" i="1"/>
  <c r="J78" i="1"/>
  <c r="Y77" i="1"/>
  <c r="Z77" i="1" s="1"/>
  <c r="AA77" i="1" s="1"/>
  <c r="X77" i="1"/>
  <c r="J77" i="1"/>
  <c r="Y6" i="1" l="1"/>
  <c r="J9" i="1" l="1"/>
  <c r="J10" i="1"/>
  <c r="Y10" i="1"/>
  <c r="Z10" i="1" s="1"/>
  <c r="AA10" i="1" s="1"/>
  <c r="X10" i="1"/>
  <c r="Y9" i="1"/>
  <c r="Z9" i="1" s="1"/>
  <c r="AA9" i="1" s="1"/>
  <c r="X9" i="1"/>
  <c r="Q23" i="1" l="1"/>
  <c r="P24" i="1"/>
  <c r="P25" i="1"/>
  <c r="P26" i="1"/>
  <c r="P3" i="1"/>
  <c r="P4" i="1"/>
  <c r="P5" i="1"/>
  <c r="P6" i="1"/>
  <c r="P27" i="1"/>
  <c r="P28" i="1"/>
  <c r="P29" i="1"/>
  <c r="P30" i="1"/>
  <c r="P31" i="1"/>
  <c r="P32" i="1"/>
  <c r="P33" i="1"/>
  <c r="P34" i="1"/>
  <c r="P35" i="1"/>
  <c r="P45" i="1"/>
  <c r="P62" i="1"/>
  <c r="P63" i="1"/>
  <c r="P64" i="1"/>
  <c r="P65" i="1"/>
  <c r="P76" i="1"/>
  <c r="P80" i="1"/>
  <c r="P81" i="1"/>
  <c r="P82" i="1"/>
  <c r="P86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20" i="1"/>
  <c r="P121" i="1"/>
  <c r="P122" i="1"/>
  <c r="P123" i="1"/>
  <c r="P124" i="1"/>
  <c r="P125" i="1"/>
  <c r="P126" i="1"/>
  <c r="P127" i="1"/>
  <c r="P128" i="1"/>
  <c r="P129" i="1"/>
  <c r="Q3" i="1"/>
  <c r="Q4" i="1"/>
  <c r="Q5" i="1"/>
  <c r="Q6" i="1"/>
  <c r="Q28" i="1"/>
  <c r="Q29" i="1"/>
  <c r="Q31" i="1"/>
  <c r="Q32" i="1"/>
  <c r="Q33" i="1"/>
  <c r="Q34" i="1"/>
  <c r="Q35" i="1"/>
  <c r="Q39" i="1"/>
  <c r="Q56" i="1"/>
  <c r="Q57" i="1"/>
  <c r="Q62" i="1"/>
  <c r="Q63" i="1"/>
  <c r="Q64" i="1"/>
  <c r="Q65" i="1"/>
  <c r="Q66" i="1"/>
  <c r="Q67" i="1"/>
  <c r="Q68" i="1"/>
  <c r="Q69" i="1"/>
  <c r="Q70" i="1"/>
  <c r="Q71" i="1"/>
  <c r="Q72" i="1"/>
  <c r="Q73" i="1"/>
  <c r="Q101" i="1"/>
  <c r="Q107" i="1"/>
  <c r="Q108" i="1"/>
  <c r="Q109" i="1"/>
  <c r="Q110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W3" i="1"/>
  <c r="Y3" i="1" s="1"/>
  <c r="Y4" i="1"/>
  <c r="Y5" i="1"/>
  <c r="Y7" i="1"/>
  <c r="Y8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Z24" i="1"/>
  <c r="AA24" i="1" s="1"/>
  <c r="Z25" i="1"/>
  <c r="AA25" i="1" s="1"/>
  <c r="Z26" i="1"/>
  <c r="AA26" i="1" s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80" i="1"/>
  <c r="Y81" i="1"/>
  <c r="Y82" i="1"/>
  <c r="Y86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X24" i="1"/>
  <c r="J24" i="1"/>
  <c r="J25" i="1"/>
  <c r="J26" i="1"/>
  <c r="X25" i="1"/>
  <c r="X26" i="1" l="1"/>
  <c r="P139" i="1"/>
  <c r="P138" i="1"/>
  <c r="P137" i="1"/>
  <c r="P136" i="1"/>
  <c r="T139" i="1"/>
  <c r="T138" i="1"/>
  <c r="T137" i="1"/>
  <c r="T136" i="1"/>
  <c r="W140" i="1"/>
  <c r="W139" i="1"/>
  <c r="W138" i="1"/>
  <c r="W137" i="1"/>
  <c r="W136" i="1"/>
  <c r="G140" i="1"/>
  <c r="G139" i="1"/>
  <c r="G138" i="1"/>
  <c r="G137" i="1"/>
  <c r="G136" i="1"/>
  <c r="X3" i="1"/>
  <c r="X4" i="1"/>
  <c r="X5" i="1"/>
  <c r="X6" i="1"/>
  <c r="X7" i="1"/>
  <c r="X8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80" i="1"/>
  <c r="X81" i="1"/>
  <c r="X82" i="1"/>
  <c r="X86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 l="1"/>
  <c r="Y137" i="1"/>
  <c r="Y139" i="1"/>
  <c r="Y136" i="1"/>
  <c r="Y140" i="1"/>
  <c r="X138" i="1"/>
  <c r="Y138" i="1"/>
  <c r="X137" i="1"/>
  <c r="X139" i="1"/>
  <c r="Z75" i="1" l="1"/>
  <c r="AA75" i="1" s="1"/>
  <c r="J75" i="1"/>
  <c r="Z69" i="1"/>
  <c r="AA69" i="1" s="1"/>
  <c r="J69" i="1"/>
  <c r="Z89" i="1"/>
  <c r="AA89" i="1" s="1"/>
  <c r="J89" i="1"/>
  <c r="Z86" i="1"/>
  <c r="AA86" i="1" s="1"/>
  <c r="J86" i="1"/>
  <c r="J80" i="1"/>
  <c r="J81" i="1"/>
  <c r="J82" i="1"/>
  <c r="Z80" i="1"/>
  <c r="AA80" i="1" s="1"/>
  <c r="Z81" i="1"/>
  <c r="AA81" i="1" s="1"/>
  <c r="Z82" i="1"/>
  <c r="AA82" i="1" s="1"/>
  <c r="Z121" i="1"/>
  <c r="AA121" i="1" s="1"/>
  <c r="J121" i="1"/>
  <c r="Z120" i="1"/>
  <c r="AA120" i="1" s="1"/>
  <c r="J120" i="1"/>
  <c r="Z101" i="1"/>
  <c r="AA101" i="1" s="1"/>
  <c r="J101" i="1"/>
  <c r="Z45" i="1" l="1"/>
  <c r="AA45" i="1" s="1"/>
  <c r="J45" i="1"/>
  <c r="Z44" i="1"/>
  <c r="AA44" i="1" s="1"/>
  <c r="J44" i="1"/>
  <c r="Z43" i="1"/>
  <c r="AA43" i="1" s="1"/>
  <c r="J43" i="1"/>
  <c r="Z42" i="1"/>
  <c r="AA42" i="1" s="1"/>
  <c r="J42" i="1"/>
  <c r="Z57" i="1"/>
  <c r="AA57" i="1" s="1"/>
  <c r="J57" i="1"/>
  <c r="Z56" i="1"/>
  <c r="AA56" i="1" s="1"/>
  <c r="J56" i="1"/>
  <c r="Z55" i="1"/>
  <c r="AA55" i="1" s="1"/>
  <c r="J55" i="1"/>
  <c r="Z49" i="1"/>
  <c r="AA49" i="1" s="1"/>
  <c r="J49" i="1"/>
  <c r="Z48" i="1"/>
  <c r="AA48" i="1" s="1"/>
  <c r="J48" i="1"/>
  <c r="J46" i="1"/>
  <c r="J47" i="1"/>
  <c r="Z46" i="1"/>
  <c r="AA46" i="1" s="1"/>
  <c r="Z47" i="1"/>
  <c r="AA47" i="1" s="1"/>
  <c r="J134" i="1" l="1"/>
  <c r="Z134" i="1"/>
  <c r="AA134" i="1" s="1"/>
  <c r="Z3" i="1"/>
  <c r="Z4" i="1"/>
  <c r="Z5" i="1"/>
  <c r="Z6" i="1"/>
  <c r="Z7" i="1"/>
  <c r="Z8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50" i="1"/>
  <c r="Z52" i="1"/>
  <c r="Z54" i="1"/>
  <c r="Z58" i="1"/>
  <c r="Z59" i="1"/>
  <c r="Z60" i="1"/>
  <c r="Z61" i="1"/>
  <c r="Z62" i="1"/>
  <c r="Z63" i="1"/>
  <c r="Z64" i="1"/>
  <c r="Z65" i="1"/>
  <c r="Z66" i="1"/>
  <c r="Z67" i="1"/>
  <c r="Z68" i="1"/>
  <c r="Z70" i="1"/>
  <c r="Z71" i="1"/>
  <c r="Z72" i="1"/>
  <c r="Z73" i="1"/>
  <c r="Z74" i="1"/>
  <c r="Z76" i="1"/>
  <c r="Z90" i="1"/>
  <c r="Z91" i="1"/>
  <c r="Z92" i="1"/>
  <c r="Z93" i="1"/>
  <c r="Z94" i="1"/>
  <c r="Z95" i="1"/>
  <c r="Z96" i="1"/>
  <c r="Z97" i="1"/>
  <c r="Z98" i="1"/>
  <c r="Z99" i="1"/>
  <c r="Z100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5" i="1"/>
  <c r="AA17" i="1" l="1"/>
  <c r="J17" i="1"/>
  <c r="AA18" i="1"/>
  <c r="J18" i="1"/>
  <c r="AA16" i="1"/>
  <c r="J16" i="1"/>
  <c r="J22" i="1" l="1"/>
  <c r="AA22" i="1"/>
  <c r="J23" i="1"/>
  <c r="AA23" i="1"/>
  <c r="J27" i="1"/>
  <c r="AA27" i="1"/>
  <c r="J28" i="1"/>
  <c r="AA28" i="1"/>
  <c r="J29" i="1"/>
  <c r="AA29" i="1"/>
  <c r="J30" i="1"/>
  <c r="AA30" i="1"/>
  <c r="J31" i="1"/>
  <c r="AA31" i="1"/>
  <c r="J32" i="1"/>
  <c r="AA32" i="1"/>
  <c r="J33" i="1"/>
  <c r="AA33" i="1"/>
  <c r="J34" i="1"/>
  <c r="AA34" i="1"/>
  <c r="J35" i="1"/>
  <c r="AA35" i="1"/>
  <c r="J36" i="1"/>
  <c r="AA36" i="1"/>
  <c r="J37" i="1"/>
  <c r="AA37" i="1"/>
  <c r="J38" i="1"/>
  <c r="AA38" i="1"/>
  <c r="J39" i="1"/>
  <c r="AA39" i="1"/>
  <c r="J40" i="1"/>
  <c r="AA40" i="1"/>
  <c r="J41" i="1"/>
  <c r="AA41" i="1"/>
  <c r="J50" i="1"/>
  <c r="AA50" i="1"/>
  <c r="J51" i="1"/>
  <c r="J52" i="1"/>
  <c r="AA52" i="1"/>
  <c r="Z51" i="1" l="1"/>
  <c r="AA135" i="1"/>
  <c r="J135" i="1"/>
  <c r="A5" i="3"/>
  <c r="A6" i="3"/>
  <c r="A7" i="3"/>
  <c r="A4" i="3"/>
  <c r="A8" i="3"/>
  <c r="O137" i="1"/>
  <c r="S138" i="1"/>
  <c r="R138" i="1"/>
  <c r="S139" i="1"/>
  <c r="S136" i="1"/>
  <c r="R139" i="1"/>
  <c r="R136" i="1"/>
  <c r="S137" i="1"/>
  <c r="R137" i="1"/>
  <c r="E140" i="1"/>
  <c r="E139" i="1"/>
  <c r="E138" i="1"/>
  <c r="E137" i="1"/>
  <c r="E136" i="1"/>
  <c r="AA51" i="1" l="1"/>
  <c r="AA100" i="1"/>
  <c r="J100" i="1"/>
  <c r="AA19" i="1"/>
  <c r="J19" i="1"/>
  <c r="AA7" i="1" l="1"/>
  <c r="J7" i="1"/>
  <c r="H137" i="1" l="1"/>
  <c r="A148" i="1" l="1"/>
  <c r="O136" i="1"/>
  <c r="AA119" i="1"/>
  <c r="J119" i="1"/>
  <c r="AA20" i="1"/>
  <c r="J20" i="1"/>
  <c r="O139" i="1"/>
  <c r="I138" i="1"/>
  <c r="I139" i="1"/>
  <c r="I137" i="1"/>
  <c r="I136" i="1"/>
  <c r="I140" i="1"/>
  <c r="AA21" i="1"/>
  <c r="J21" i="1"/>
  <c r="Z53" i="1" l="1"/>
  <c r="O138" i="1"/>
  <c r="Z139" i="1" l="1"/>
  <c r="Z138" i="1"/>
  <c r="Z137" i="1"/>
  <c r="Z136" i="1"/>
  <c r="AA96" i="1"/>
  <c r="J96" i="1"/>
  <c r="AA99" i="1"/>
  <c r="J99" i="1"/>
  <c r="AA98" i="1"/>
  <c r="J98" i="1"/>
  <c r="AA97" i="1"/>
  <c r="J97" i="1"/>
  <c r="H140" i="1" l="1"/>
  <c r="H139" i="1"/>
  <c r="H138" i="1"/>
  <c r="H136" i="1"/>
  <c r="AA54" i="1" l="1"/>
  <c r="J54" i="1"/>
  <c r="AA6" i="1" l="1"/>
  <c r="J6" i="1"/>
  <c r="N139" i="1" l="1"/>
  <c r="N138" i="1"/>
  <c r="N137" i="1"/>
  <c r="N136" i="1"/>
  <c r="M139" i="1"/>
  <c r="M138" i="1"/>
  <c r="M137" i="1"/>
  <c r="M136" i="1"/>
  <c r="L139" i="1"/>
  <c r="L138" i="1"/>
  <c r="L137" i="1"/>
  <c r="L136" i="1"/>
  <c r="K139" i="1"/>
  <c r="K138" i="1"/>
  <c r="K137" i="1"/>
  <c r="K136" i="1"/>
  <c r="F140" i="1"/>
  <c r="F139" i="1"/>
  <c r="F138" i="1"/>
  <c r="F137" i="1"/>
  <c r="F136" i="1"/>
  <c r="A145" i="1"/>
  <c r="K140" i="1"/>
  <c r="M140" i="1"/>
  <c r="N140" i="1"/>
  <c r="O140" i="1"/>
  <c r="D152" i="1"/>
  <c r="D151" i="1" s="1"/>
  <c r="D149" i="1"/>
  <c r="U87" i="1" s="1"/>
  <c r="V87" i="1" s="1"/>
  <c r="AA112" i="1"/>
  <c r="J112" i="1"/>
  <c r="AA111" i="1"/>
  <c r="J111" i="1"/>
  <c r="U84" i="1" l="1"/>
  <c r="V84" i="1" s="1"/>
  <c r="U83" i="1"/>
  <c r="V83" i="1" s="1"/>
  <c r="U85" i="1"/>
  <c r="V85" i="1" s="1"/>
  <c r="U88" i="1"/>
  <c r="V88" i="1" s="1"/>
  <c r="U79" i="1"/>
  <c r="V79" i="1" s="1"/>
  <c r="U77" i="1"/>
  <c r="V77" i="1" s="1"/>
  <c r="U78" i="1"/>
  <c r="V78" i="1" s="1"/>
  <c r="U46" i="1"/>
  <c r="V46" i="1" s="1"/>
  <c r="U47" i="1"/>
  <c r="V47" i="1" s="1"/>
  <c r="U41" i="1"/>
  <c r="V41" i="1" s="1"/>
  <c r="U10" i="1"/>
  <c r="V10" i="1" s="1"/>
  <c r="U9" i="1"/>
  <c r="V9" i="1" s="1"/>
  <c r="U106" i="1"/>
  <c r="V106" i="1" s="1"/>
  <c r="U26" i="1"/>
  <c r="V26" i="1" s="1"/>
  <c r="U25" i="1"/>
  <c r="V25" i="1" s="1"/>
  <c r="U24" i="1"/>
  <c r="V24" i="1" s="1"/>
  <c r="U93" i="1"/>
  <c r="V93" i="1" s="1"/>
  <c r="U96" i="1"/>
  <c r="V96" i="1" s="1"/>
  <c r="U94" i="1"/>
  <c r="V94" i="1" s="1"/>
  <c r="U97" i="1"/>
  <c r="V97" i="1" s="1"/>
  <c r="U98" i="1"/>
  <c r="V98" i="1" s="1"/>
  <c r="U99" i="1"/>
  <c r="V99" i="1" s="1"/>
  <c r="U95" i="1"/>
  <c r="V95" i="1" s="1"/>
  <c r="U86" i="1"/>
  <c r="V86" i="1" s="1"/>
  <c r="U7" i="1"/>
  <c r="U8" i="1"/>
  <c r="V8" i="1" s="1"/>
  <c r="U69" i="1"/>
  <c r="V69" i="1" s="1"/>
  <c r="U75" i="1"/>
  <c r="V75" i="1" s="1"/>
  <c r="U81" i="1"/>
  <c r="V81" i="1" s="1"/>
  <c r="U89" i="1"/>
  <c r="V89" i="1" s="1"/>
  <c r="U82" i="1"/>
  <c r="V82" i="1" s="1"/>
  <c r="U80" i="1"/>
  <c r="V80" i="1" s="1"/>
  <c r="U120" i="1"/>
  <c r="V120" i="1" s="1"/>
  <c r="U121" i="1"/>
  <c r="V121" i="1" s="1"/>
  <c r="U45" i="1"/>
  <c r="V45" i="1" s="1"/>
  <c r="U101" i="1"/>
  <c r="V101" i="1" s="1"/>
  <c r="U44" i="1"/>
  <c r="V44" i="1" s="1"/>
  <c r="U43" i="1"/>
  <c r="V43" i="1" s="1"/>
  <c r="U42" i="1"/>
  <c r="V42" i="1" s="1"/>
  <c r="U57" i="1"/>
  <c r="V57" i="1" s="1"/>
  <c r="U55" i="1"/>
  <c r="V55" i="1" s="1"/>
  <c r="U56" i="1"/>
  <c r="V56" i="1" s="1"/>
  <c r="U49" i="1"/>
  <c r="V49" i="1" s="1"/>
  <c r="U48" i="1"/>
  <c r="V48" i="1" s="1"/>
  <c r="U134" i="1"/>
  <c r="V134" i="1" s="1"/>
  <c r="U17" i="1"/>
  <c r="V17" i="1" s="1"/>
  <c r="U16" i="1"/>
  <c r="V16" i="1" s="1"/>
  <c r="U18" i="1"/>
  <c r="V18" i="1" s="1"/>
  <c r="U22" i="1"/>
  <c r="V22" i="1" s="1"/>
  <c r="U31" i="1"/>
  <c r="V31" i="1" s="1"/>
  <c r="U32" i="1"/>
  <c r="V32" i="1" s="1"/>
  <c r="U33" i="1"/>
  <c r="V33" i="1" s="1"/>
  <c r="U35" i="1"/>
  <c r="V35" i="1" s="1"/>
  <c r="U36" i="1"/>
  <c r="V36" i="1" s="1"/>
  <c r="U38" i="1"/>
  <c r="V38" i="1" s="1"/>
  <c r="U39" i="1"/>
  <c r="V39" i="1" s="1"/>
  <c r="U40" i="1"/>
  <c r="V40" i="1" s="1"/>
  <c r="U52" i="1"/>
  <c r="V52" i="1" s="1"/>
  <c r="U34" i="1"/>
  <c r="V34" i="1" s="1"/>
  <c r="U50" i="1"/>
  <c r="V50" i="1" s="1"/>
  <c r="U29" i="1"/>
  <c r="V29" i="1" s="1"/>
  <c r="U23" i="1"/>
  <c r="V23" i="1" s="1"/>
  <c r="U27" i="1"/>
  <c r="V27" i="1" s="1"/>
  <c r="U28" i="1"/>
  <c r="V28" i="1" s="1"/>
  <c r="U37" i="1"/>
  <c r="V37" i="1" s="1"/>
  <c r="U30" i="1"/>
  <c r="V30" i="1" s="1"/>
  <c r="U51" i="1"/>
  <c r="V51" i="1" s="1"/>
  <c r="U135" i="1"/>
  <c r="V135" i="1" s="1"/>
  <c r="U100" i="1"/>
  <c r="V100" i="1" s="1"/>
  <c r="U19" i="1"/>
  <c r="V19" i="1" s="1"/>
  <c r="U20" i="1"/>
  <c r="V20" i="1" s="1"/>
  <c r="U119" i="1"/>
  <c r="V119" i="1" s="1"/>
  <c r="U21" i="1"/>
  <c r="V21" i="1" s="1"/>
  <c r="U111" i="1"/>
  <c r="V111" i="1" s="1"/>
  <c r="U54" i="1"/>
  <c r="V54" i="1" s="1"/>
  <c r="P140" i="1"/>
  <c r="U107" i="1"/>
  <c r="V107" i="1" s="1"/>
  <c r="U112" i="1"/>
  <c r="V112" i="1" s="1"/>
  <c r="U108" i="1"/>
  <c r="V108" i="1" s="1"/>
  <c r="U129" i="1"/>
  <c r="V129" i="1" s="1"/>
  <c r="U109" i="1"/>
  <c r="V109" i="1" s="1"/>
  <c r="U110" i="1"/>
  <c r="V110" i="1" s="1"/>
  <c r="AA129" i="1"/>
  <c r="J129" i="1"/>
  <c r="V7" i="1" l="1"/>
  <c r="AA93" i="1"/>
  <c r="J93" i="1"/>
  <c r="AA94" i="1"/>
  <c r="J94" i="1"/>
  <c r="AA95" i="1"/>
  <c r="J95" i="1"/>
  <c r="L140" i="1" l="1"/>
  <c r="U11" i="1" l="1"/>
  <c r="U128" i="1"/>
  <c r="V128" i="1" s="1"/>
  <c r="U124" i="1"/>
  <c r="V124" i="1" s="1"/>
  <c r="U117" i="1"/>
  <c r="V117" i="1" s="1"/>
  <c r="U113" i="1"/>
  <c r="V113" i="1" s="1"/>
  <c r="U104" i="1"/>
  <c r="V104" i="1" s="1"/>
  <c r="U91" i="1"/>
  <c r="V91" i="1" s="1"/>
  <c r="U73" i="1"/>
  <c r="V73" i="1" s="1"/>
  <c r="U68" i="1"/>
  <c r="V68" i="1" s="1"/>
  <c r="U64" i="1"/>
  <c r="V64" i="1" s="1"/>
  <c r="U60" i="1"/>
  <c r="V60" i="1" s="1"/>
  <c r="U15" i="1"/>
  <c r="V15" i="1" s="1"/>
  <c r="U133" i="1"/>
  <c r="V133" i="1" s="1"/>
  <c r="U130" i="1"/>
  <c r="V130" i="1" s="1"/>
  <c r="U125" i="1"/>
  <c r="V125" i="1" s="1"/>
  <c r="U118" i="1"/>
  <c r="V118" i="1" s="1"/>
  <c r="U114" i="1"/>
  <c r="V114" i="1" s="1"/>
  <c r="U74" i="1"/>
  <c r="V74" i="1" s="1"/>
  <c r="U65" i="1"/>
  <c r="V65" i="1" s="1"/>
  <c r="U132" i="1"/>
  <c r="V132" i="1" s="1"/>
  <c r="U127" i="1"/>
  <c r="V127" i="1" s="1"/>
  <c r="U123" i="1"/>
  <c r="V123" i="1" s="1"/>
  <c r="U116" i="1"/>
  <c r="V116" i="1" s="1"/>
  <c r="U103" i="1"/>
  <c r="V103" i="1" s="1"/>
  <c r="U90" i="1"/>
  <c r="V90" i="1" s="1"/>
  <c r="U72" i="1"/>
  <c r="V72" i="1" s="1"/>
  <c r="U67" i="1"/>
  <c r="V67" i="1" s="1"/>
  <c r="U63" i="1"/>
  <c r="V63" i="1" s="1"/>
  <c r="U59" i="1"/>
  <c r="V59" i="1" s="1"/>
  <c r="U53" i="1"/>
  <c r="V53" i="1" s="1"/>
  <c r="U14" i="1"/>
  <c r="V14" i="1" s="1"/>
  <c r="U92" i="1"/>
  <c r="V92" i="1" s="1"/>
  <c r="U70" i="1"/>
  <c r="V70" i="1" s="1"/>
  <c r="U61" i="1"/>
  <c r="V61" i="1" s="1"/>
  <c r="U12" i="1"/>
  <c r="V12" i="1" s="1"/>
  <c r="U131" i="1"/>
  <c r="V131" i="1" s="1"/>
  <c r="U126" i="1"/>
  <c r="V126" i="1" s="1"/>
  <c r="U122" i="1"/>
  <c r="V122" i="1" s="1"/>
  <c r="U115" i="1"/>
  <c r="V115" i="1" s="1"/>
  <c r="U105" i="1"/>
  <c r="V105" i="1" s="1"/>
  <c r="U102" i="1"/>
  <c r="V102" i="1" s="1"/>
  <c r="U76" i="1"/>
  <c r="V76" i="1" s="1"/>
  <c r="U71" i="1"/>
  <c r="V71" i="1" s="1"/>
  <c r="U66" i="1"/>
  <c r="V66" i="1" s="1"/>
  <c r="U62" i="1"/>
  <c r="V62" i="1" s="1"/>
  <c r="U58" i="1"/>
  <c r="V58" i="1" s="1"/>
  <c r="U13" i="1"/>
  <c r="V13" i="1" s="1"/>
  <c r="U136" i="1" l="1"/>
  <c r="U137" i="1"/>
  <c r="U139" i="1"/>
  <c r="U138" i="1"/>
  <c r="V11" i="1"/>
  <c r="U140" i="1"/>
  <c r="V140" i="1" l="1"/>
  <c r="V139" i="1"/>
  <c r="V137" i="1"/>
  <c r="V136" i="1"/>
  <c r="V138" i="1"/>
  <c r="S140" i="1"/>
  <c r="J3" i="1"/>
  <c r="J4" i="1"/>
  <c r="J5" i="1"/>
  <c r="J8" i="1"/>
  <c r="J11" i="1"/>
  <c r="J12" i="1"/>
  <c r="J13" i="1"/>
  <c r="J14" i="1"/>
  <c r="J15" i="1"/>
  <c r="J53" i="1"/>
  <c r="J58" i="1"/>
  <c r="J59" i="1"/>
  <c r="J60" i="1"/>
  <c r="J61" i="1"/>
  <c r="J62" i="1"/>
  <c r="J63" i="1"/>
  <c r="J64" i="1"/>
  <c r="J65" i="1"/>
  <c r="J66" i="1"/>
  <c r="J67" i="1"/>
  <c r="J68" i="1"/>
  <c r="J70" i="1"/>
  <c r="J71" i="1"/>
  <c r="J72" i="1"/>
  <c r="J73" i="1"/>
  <c r="J74" i="1"/>
  <c r="J76" i="1"/>
  <c r="J90" i="1"/>
  <c r="J91" i="1"/>
  <c r="J92" i="1"/>
  <c r="J102" i="1"/>
  <c r="J103" i="1"/>
  <c r="J104" i="1"/>
  <c r="J105" i="1"/>
  <c r="J106" i="1"/>
  <c r="J107" i="1"/>
  <c r="J108" i="1"/>
  <c r="J109" i="1"/>
  <c r="J110" i="1"/>
  <c r="J113" i="1"/>
  <c r="J114" i="1"/>
  <c r="J115" i="1"/>
  <c r="J116" i="1"/>
  <c r="J117" i="1"/>
  <c r="J118" i="1"/>
  <c r="J122" i="1"/>
  <c r="J123" i="1"/>
  <c r="J124" i="1"/>
  <c r="J125" i="1"/>
  <c r="J126" i="1"/>
  <c r="J127" i="1"/>
  <c r="J128" i="1"/>
  <c r="J130" i="1"/>
  <c r="J131" i="1"/>
  <c r="J132" i="1"/>
  <c r="J133" i="1"/>
  <c r="AA4" i="1"/>
  <c r="AA5" i="1"/>
  <c r="AA8" i="1"/>
  <c r="AA11" i="1"/>
  <c r="AA12" i="1"/>
  <c r="AA13" i="1"/>
  <c r="AA14" i="1"/>
  <c r="AA15" i="1"/>
  <c r="AA53" i="1"/>
  <c r="AA58" i="1"/>
  <c r="AA59" i="1"/>
  <c r="AA60" i="1"/>
  <c r="AA61" i="1"/>
  <c r="AA62" i="1"/>
  <c r="AA63" i="1"/>
  <c r="AA64" i="1"/>
  <c r="AA65" i="1"/>
  <c r="AA66" i="1"/>
  <c r="AA67" i="1"/>
  <c r="AA68" i="1"/>
  <c r="AA70" i="1"/>
  <c r="AA71" i="1"/>
  <c r="AA72" i="1"/>
  <c r="AA73" i="1"/>
  <c r="AA74" i="1"/>
  <c r="AA76" i="1"/>
  <c r="AA90" i="1"/>
  <c r="AA91" i="1"/>
  <c r="AA92" i="1"/>
  <c r="AA102" i="1"/>
  <c r="AA103" i="1"/>
  <c r="AA104" i="1"/>
  <c r="AA105" i="1"/>
  <c r="AA106" i="1"/>
  <c r="AA107" i="1"/>
  <c r="AA108" i="1"/>
  <c r="AA109" i="1"/>
  <c r="AA113" i="1"/>
  <c r="AA114" i="1"/>
  <c r="AA115" i="1"/>
  <c r="AA116" i="1"/>
  <c r="AA117" i="1"/>
  <c r="AA118" i="1"/>
  <c r="AA122" i="1"/>
  <c r="AA123" i="1"/>
  <c r="AA124" i="1"/>
  <c r="AA125" i="1"/>
  <c r="AA126" i="1"/>
  <c r="AA127" i="1"/>
  <c r="AA128" i="1"/>
  <c r="AA130" i="1"/>
  <c r="AA131" i="1"/>
  <c r="AA132" i="1"/>
  <c r="AA133" i="1"/>
  <c r="AA3" i="1" l="1"/>
  <c r="T140" i="1" l="1"/>
  <c r="R140" i="1" l="1"/>
  <c r="Q137" i="1" l="1"/>
  <c r="Q138" i="1"/>
  <c r="Q136" i="1"/>
  <c r="Q139" i="1"/>
  <c r="Q140" i="1"/>
  <c r="AA110" i="1" l="1"/>
  <c r="X140" i="1"/>
  <c r="Z140" i="1"/>
  <c r="AA140" i="1" l="1"/>
  <c r="AA139" i="1"/>
  <c r="AA136" i="1"/>
  <c r="AA138" i="1"/>
  <c r="AA137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7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8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9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0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D145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6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47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8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<sst xmlns="http://schemas.openxmlformats.org/spreadsheetml/2006/main" count="588" uniqueCount="150">
  <si>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</si>
  <si>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</si>
  <si>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</si>
  <si>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</si>
  <si>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</si>
  <si>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</si>
  <si>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</si>
  <si>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</si>
  <si>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</si>
  <si>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</si>
  <si>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</si>
  <si>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</si>
  <si>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</si>
  <si>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</si>
  <si>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</si>
  <si>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</si>
  <si>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</si>
  <si>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</si>
  <si>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</si>
  <si>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</si>
  <si>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</si>
  <si>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</si>
  <si>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</si>
  <si>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</si>
  <si>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</si>
  <si>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</si>
  <si>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</si>
  <si>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</si>
  <si>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</si>
  <si>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</si>
  <si>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</si>
  <si>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</si>
  <si>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</si>
  <si>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</si>
  <si>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</si>
  <si>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</si>
  <si>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</si>
  <si>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</si>
  <si>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</si>
  <si>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</si>
  <si>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</si>
  <si>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</si>
  <si>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</si>
  <si>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</si>
  <si>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</si>
  <si>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</si>
  <si>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</si>
  <si>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</si>
  <si>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</si>
  <si>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</si>
  <si>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</si>
  <si>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</si>
  <si>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</si>
  <si>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</si>
  <si>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</si>
  <si>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</si>
  <si>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</si>
  <si>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</si>
  <si>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</si>
  <si>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</si>
  <si>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</si>
  <si>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</si>
  <si>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</si>
  <si>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</si>
  <si>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</si>
  <si>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</si>
  <si>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</si>
  <si>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</si>
  <si>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</si>
  <si>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</si>
  <si>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</si>
  <si>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</si>
  <si>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</si>
  <si>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</si>
  <si>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</si>
  <si>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</si>
  <si>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</si>
  <si>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</si>
  <si>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</si>
  <si>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</si>
  <si>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r>
      <t>Ultrastar He</t>
    </r>
    <r>
      <rPr>
        <vertAlign val="superscript"/>
        <sz val="11"/>
        <color theme="1"/>
        <rFont val="Calibri"/>
        <family val="2"/>
        <scheme val="minor"/>
      </rPr>
      <t>8</t>
    </r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</si>
  <si>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</si>
  <si>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</si>
  <si>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</si>
  <si>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</si>
  <si>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</si>
  <si>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</si>
  <si>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</si>
  <si>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</si>
  <si>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</si>
  <si>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</si>
  <si>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</si>
  <si>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</si>
  <si>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</si>
  <si>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</si>
  <si>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</si>
  <si>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</si>
  <si>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</si>
  <si>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</si>
  <si>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</si>
  <si>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</si>
  <si>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</si>
  <si>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</si>
  <si>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</si>
  <si>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</si>
  <si>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</si>
  <si>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</si>
  <si>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</si>
  <si>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</si>
  <si>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</si>
  <si>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</si>
  <si>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</si>
  <si>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</si>
  <si>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</si>
  <si>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</si>
  <si>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</si>
  <si>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</si>
  <si>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</si>
  <si>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</si>
  <si>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</si>
  <si>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</si>
  <si>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</si>
  <si>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</si>
  <si>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</si>
  <si>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</si>
  <si>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</si>
  <si>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</si>
  <si>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</si>
  <si>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</si>
  <si>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</si>
  <si>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</si>
  <si>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</si>
  <si>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</si>
  <si>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</si>
  <si>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</si>
  <si>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</si>
  <si>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</si>
  <si>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</si>
  <si>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</si>
  <si>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</si>
  <si>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</si>
  <si>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</si>
  <si>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</si>
  <si>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</si>
  <si>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</si>
  <si>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</si>
  <si>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</si>
  <si>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ACOUSTICS</t>
  </si>
  <si>
    <t>DBA_Idle</t>
  </si>
  <si>
    <t>DBA_Seek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</si>
</sst>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sz val="11"/>
      <color rgb="FF0061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  <fill>
      <patternFill patternType="solid">
        <fgColor rgb="FFC6EFCE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3" fillId="17" borderId="0" applyNumberFormat="0" applyBorder="0" applyAlignment="0" applyProtection="0"/>
  </cellStyleXfs>
  <cellXfs count="23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4" xfId="0" applyNumberFormat="1" applyBorder="1"/>
    <xf numFmtId="0" fontId="0" fillId="0" borderId="44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2" fontId="0" fillId="0" borderId="44" xfId="0" applyNumberFormat="1" applyBorder="1"/>
    <xf numFmtId="9" fontId="0" fillId="0" borderId="44" xfId="0" applyNumberFormat="1" applyBorder="1"/>
    <xf numFmtId="1" fontId="0" fillId="0" borderId="43" xfId="0" applyNumberFormat="1" applyBorder="1"/>
    <xf numFmtId="3" fontId="0" fillId="0" borderId="44" xfId="0" applyNumberFormat="1" applyBorder="1"/>
    <xf numFmtId="167" fontId="0" fillId="0" borderId="44" xfId="0" applyNumberFormat="1" applyBorder="1"/>
    <xf numFmtId="2" fontId="0" fillId="0" borderId="45" xfId="0" applyNumberFormat="1" applyBorder="1"/>
    <xf numFmtId="164" fontId="0" fillId="0" borderId="44" xfId="0" applyNumberFormat="1" applyFill="1" applyBorder="1"/>
    <xf numFmtId="0" fontId="0" fillId="0" borderId="46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2" fontId="0" fillId="0" borderId="44" xfId="0" applyNumberFormat="1" applyFill="1" applyBorder="1"/>
    <xf numFmtId="0" fontId="0" fillId="0" borderId="0" xfId="0" applyAlignment="1">
      <alignment textRotation="135"/>
    </xf>
    <xf numFmtId="0" fontId="0" fillId="0" borderId="0" xfId="0" applyAlignment="1">
      <alignment shrinkToFit="1"/>
    </xf>
    <xf numFmtId="0" fontId="0" fillId="0" borderId="47" xfId="0" pivotButton="1" applyBorder="1"/>
    <xf numFmtId="0" fontId="0" fillId="0" borderId="47" xfId="0" applyBorder="1"/>
    <xf numFmtId="164" fontId="0" fillId="0" borderId="47" xfId="0" applyNumberFormat="1" applyBorder="1"/>
    <xf numFmtId="2" fontId="0" fillId="0" borderId="47" xfId="0" applyNumberFormat="1" applyBorder="1" applyAlignment="1">
      <alignment horizontal="right"/>
    </xf>
    <xf numFmtId="0" fontId="0" fillId="0" borderId="47" xfId="0" pivotButton="1" applyBorder="1" applyAlignment="1">
      <alignment horizontal="center"/>
    </xf>
    <xf numFmtId="0" fontId="0" fillId="0" borderId="47" xfId="0" applyBorder="1" applyAlignment="1">
      <alignment horizontal="center"/>
    </xf>
    <xf numFmtId="2" fontId="0" fillId="0" borderId="4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4" xfId="0" applyNumberFormat="1" applyFill="1" applyBorder="1" applyAlignment="1">
      <alignment horizontal="right"/>
    </xf>
    <xf numFmtId="2" fontId="1" fillId="4" borderId="48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10" fillId="0" borderId="44" xfId="1" applyBorder="1" applyAlignment="1">
      <alignment shrinkToFit="1"/>
    </xf>
    <xf numFmtId="0" fontId="10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10" fillId="0" borderId="0" xfId="1"/>
    <xf numFmtId="0" fontId="0" fillId="0" borderId="0" xfId="0" applyAlignment="1">
      <alignment horizontal="center"/>
    </xf>
    <xf numFmtId="0" fontId="10" fillId="0" borderId="19" xfId="1" applyBorder="1"/>
    <xf numFmtId="0" fontId="10" fillId="0" borderId="46" xfId="1" applyBorder="1"/>
    <xf numFmtId="14" fontId="0" fillId="0" borderId="0" xfId="0" applyNumberFormat="1" applyBorder="1"/>
    <xf numFmtId="0" fontId="10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4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4" xfId="0" applyNumberFormat="1" applyFont="1" applyBorder="1"/>
    <xf numFmtId="8" fontId="4" fillId="0" borderId="53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4" xfId="0" applyFont="1" applyFill="1" applyBorder="1" applyAlignment="1">
      <alignment horizontal="center"/>
    </xf>
    <xf numFmtId="164" fontId="0" fillId="0" borderId="14" xfId="0" applyNumberFormat="1" applyBorder="1"/>
    <xf numFmtId="164" fontId="10" fillId="0" borderId="14" xfId="1" applyNumberFormat="1" applyBorder="1"/>
    <xf numFmtId="0" fontId="0" fillId="14" borderId="55" xfId="0" applyFill="1" applyBorder="1"/>
    <xf numFmtId="0" fontId="0" fillId="14" borderId="56" xfId="0" applyFill="1" applyBorder="1"/>
    <xf numFmtId="168" fontId="0" fillId="14" borderId="56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7" xfId="0" applyNumberFormat="1" applyFont="1" applyFill="1" applyBorder="1"/>
    <xf numFmtId="44" fontId="1" fillId="4" borderId="58" xfId="0" applyNumberFormat="1" applyFont="1" applyFill="1" applyBorder="1"/>
    <xf numFmtId="0" fontId="1" fillId="4" borderId="59" xfId="0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2" fontId="10" fillId="0" borderId="45" xfId="1" applyNumberFormat="1" applyBorder="1"/>
    <xf numFmtId="164" fontId="0" fillId="0" borderId="44" xfId="0" applyNumberFormat="1" applyBorder="1"/>
    <xf numFmtId="164" fontId="0" fillId="0" borderId="0" xfId="0" applyNumberFormat="1" applyBorder="1"/>
    <xf numFmtId="164" fontId="10" fillId="0" borderId="0" xfId="1" applyNumberFormat="1" applyBorder="1"/>
    <xf numFmtId="8" fontId="4" fillId="0" borderId="65" xfId="0" applyNumberFormat="1" applyFont="1" applyBorder="1"/>
    <xf numFmtId="8" fontId="4" fillId="0" borderId="66" xfId="0" applyNumberFormat="1" applyFont="1" applyBorder="1"/>
    <xf numFmtId="8" fontId="4" fillId="0" borderId="64" xfId="0" applyNumberFormat="1" applyFont="1" applyBorder="1"/>
    <xf numFmtId="164" fontId="0" fillId="0" borderId="67" xfId="0" applyNumberFormat="1" applyFill="1" applyBorder="1"/>
    <xf numFmtId="164" fontId="0" fillId="0" borderId="14" xfId="0" applyNumberFormat="1" applyFill="1" applyBorder="1"/>
    <xf numFmtId="164" fontId="0" fillId="0" borderId="68" xfId="0" applyNumberFormat="1" applyFill="1" applyBorder="1"/>
    <xf numFmtId="0" fontId="3" fillId="2" borderId="69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9" xfId="0" applyNumberFormat="1" applyFill="1" applyBorder="1"/>
    <xf numFmtId="164" fontId="0" fillId="0" borderId="63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71" xfId="0" applyBorder="1"/>
    <xf numFmtId="0" fontId="0" fillId="0" borderId="72" xfId="0" applyBorder="1"/>
    <xf numFmtId="0" fontId="10" fillId="0" borderId="72" xfId="1" applyBorder="1"/>
    <xf numFmtId="164" fontId="0" fillId="0" borderId="73" xfId="0" applyNumberFormat="1" applyFill="1" applyBorder="1"/>
    <xf numFmtId="0" fontId="0" fillId="0" borderId="12" xfId="0" applyBorder="1"/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73" xfId="0" applyNumberFormat="1" applyFill="1" applyBorder="1"/>
    <xf numFmtId="1" fontId="0" fillId="0" borderId="74" xfId="0" applyNumberFormat="1" applyFill="1" applyBorder="1"/>
    <xf numFmtId="1" fontId="0" fillId="0" borderId="75" xfId="0" applyNumberFormat="1" applyFill="1" applyBorder="1"/>
    <xf numFmtId="0" fontId="0" fillId="0" borderId="22" xfId="0" applyBorder="1" applyAlignment="1">
      <alignment horizontal="center"/>
    </xf>
    <xf numFmtId="1" fontId="0" fillId="0" borderId="22" xfId="0" applyNumberFormat="1" applyFill="1" applyBorder="1"/>
    <xf numFmtId="1" fontId="1" fillId="4" borderId="4" xfId="0" applyNumberFormat="1" applyFont="1" applyFill="1" applyBorder="1"/>
    <xf numFmtId="1" fontId="1" fillId="4" borderId="57" xfId="0" applyNumberFormat="1" applyFont="1" applyFill="1" applyBorder="1"/>
    <xf numFmtId="1" fontId="1" fillId="4" borderId="6" xfId="0" applyNumberFormat="1" applyFont="1" applyFill="1" applyBorder="1"/>
    <xf numFmtId="1" fontId="1" fillId="4" borderId="58" xfId="0" applyNumberFormat="1" applyFont="1" applyFill="1" applyBorder="1"/>
    <xf numFmtId="1" fontId="1" fillId="4" borderId="8" xfId="0" applyNumberFormat="1" applyFont="1" applyFill="1" applyBorder="1"/>
    <xf numFmtId="1" fontId="1" fillId="4" borderId="59" xfId="0" applyNumberFormat="1" applyFont="1" applyFill="1" applyBorder="1"/>
    <xf numFmtId="14" fontId="13" fillId="17" borderId="0" xfId="2" applyNumberFormat="1"/>
    <xf numFmtId="1" fontId="0" fillId="0" borderId="69" xfId="0" applyNumberFormat="1" applyFill="1" applyBorder="1"/>
    <xf numFmtId="1" fontId="0" fillId="0" borderId="70" xfId="0" applyNumberFormat="1" applyFill="1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50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7" fillId="8" borderId="51" xfId="0" applyFont="1" applyFill="1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7" xfId="0" applyBorder="1" applyAlignment="1">
      <alignment horizontal="center" shrinkToFit="1"/>
    </xf>
    <xf numFmtId="2" fontId="0" fillId="11" borderId="51" xfId="0" applyNumberFormat="1" applyFont="1" applyFill="1" applyBorder="1" applyAlignment="1">
      <alignment horizontal="center" shrinkToFit="1"/>
    </xf>
    <xf numFmtId="0" fontId="0" fillId="0" borderId="52" xfId="0" applyBorder="1" applyAlignment="1">
      <alignment horizontal="center" shrinkToFit="1"/>
    </xf>
  </cellXfs>
  <cellStyles count="3">
    <cellStyle name="Good" xfId="2" builtinId="26"/>
    <cellStyle name="Hyperlink" xfId="1" builtinId="8"/>
    <cellStyle name="Normal" xfId="0" builtinId="0"/>
  </cellStyles>
  <dxfs count="87"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0</c:v>
                </c:pt>
                <c:pt idx="1">
                  <c:v>12.597520000000001</c:v>
                </c:pt>
                <c:pt idx="2">
                  <c:v>14.02995111111111</c:v>
                </c:pt>
                <c:pt idx="3">
                  <c:v>7.9291866666666655</c:v>
                </c:pt>
                <c:pt idx="4">
                  <c:v>8.613139444444446</c:v>
                </c:pt>
                <c:pt idx="5">
                  <c:v>12.032</c:v>
                </c:pt>
                <c:pt idx="6">
                  <c:v>7.5875424242424234</c:v>
                </c:pt>
                <c:pt idx="7">
                  <c:v>6.678903</c:v>
                </c:pt>
                <c:pt idx="8">
                  <c:v>6.5982890000000003</c:v>
                </c:pt>
                <c:pt idx="9">
                  <c:v>7.2396883333333335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99367440"/>
        <c:axId val="699356464"/>
      </c:barChart>
      <c:catAx>
        <c:axId val="6993674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56464"/>
        <c:crosses val="autoZero"/>
        <c:auto val="1"/>
        <c:lblAlgn val="ctr"/>
        <c:lblOffset val="100"/>
        <c:noMultiLvlLbl val="0"/>
      </c:catAx>
      <c:valAx>
        <c:axId val="69935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67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2.9192415733333337</c:v>
                </c:pt>
                <c:pt idx="3">
                  <c:v>1.789676</c:v>
                </c:pt>
                <c:pt idx="4">
                  <c:v>1.6106475266666669</c:v>
                </c:pt>
                <c:pt idx="5">
                  <c:v>1.23597216</c:v>
                </c:pt>
                <c:pt idx="6">
                  <c:v>1.1997469927272728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0.42246093333333334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99351368"/>
        <c:axId val="699352936"/>
      </c:barChart>
      <c:catAx>
        <c:axId val="6993513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52936"/>
        <c:crosses val="autoZero"/>
        <c:auto val="1"/>
        <c:lblAlgn val="ctr"/>
        <c:lblOffset val="100"/>
        <c:noMultiLvlLbl val="0"/>
      </c:catAx>
      <c:valAx>
        <c:axId val="699352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51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5.8384831466666673</c:v>
                </c:pt>
                <c:pt idx="3">
                  <c:v>5.3690280000000001</c:v>
                </c:pt>
                <c:pt idx="4">
                  <c:v>6.4425901066666675</c:v>
                </c:pt>
                <c:pt idx="5">
                  <c:v>6.1798608000000002</c:v>
                </c:pt>
                <c:pt idx="6">
                  <c:v>7.1984819563636364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5.0695312000000001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99350584"/>
        <c:axId val="699356856"/>
      </c:barChart>
      <c:catAx>
        <c:axId val="699350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56856"/>
        <c:crosses val="autoZero"/>
        <c:auto val="1"/>
        <c:lblAlgn val="ctr"/>
        <c:lblOffset val="100"/>
        <c:noMultiLvlLbl val="0"/>
      </c:catAx>
      <c:valAx>
        <c:axId val="699356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50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48.043892291666666</c:v>
                </c:pt>
                <c:pt idx="1">
                  <c:v>32.531300000000002</c:v>
                </c:pt>
                <c:pt idx="2">
                  <c:v>50.929306666666662</c:v>
                </c:pt>
                <c:pt idx="3">
                  <c:v>45.025666666666666</c:v>
                </c:pt>
                <c:pt idx="4">
                  <c:v>47.031860250000008</c:v>
                </c:pt>
                <c:pt idx="5">
                  <c:v>24.625892708333335</c:v>
                </c:pt>
                <c:pt idx="6">
                  <c:v>47.568794871794871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99348232"/>
        <c:axId val="699357248"/>
      </c:barChart>
      <c:catAx>
        <c:axId val="6993482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57248"/>
        <c:crosses val="autoZero"/>
        <c:auto val="1"/>
        <c:lblAlgn val="ctr"/>
        <c:lblOffset val="100"/>
        <c:noMultiLvlLbl val="0"/>
      </c:catAx>
      <c:valAx>
        <c:axId val="699357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48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99357640"/>
        <c:axId val="699350976"/>
      </c:barChart>
      <c:catAx>
        <c:axId val="699357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50976"/>
        <c:crosses val="autoZero"/>
        <c:auto val="1"/>
        <c:lblAlgn val="ctr"/>
        <c:lblOffset val="100"/>
        <c:noMultiLvlLbl val="0"/>
      </c:catAx>
      <c:valAx>
        <c:axId val="699350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57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Table'!$C$3:$C$135</c:f>
              <c:strCache>
                <c:ptCount val="133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7K6000</c:v>
                </c:pt>
                <c:pt idx="9">
                  <c:v>Ultrastar 7K6000</c:v>
                </c:pt>
                <c:pt idx="10">
                  <c:v>Ultrastar 7K6000</c:v>
                </c:pt>
                <c:pt idx="11">
                  <c:v>Ultrastar 7K6000</c:v>
                </c:pt>
                <c:pt idx="12">
                  <c:v>Ultrastar Archive Ha10</c:v>
                </c:pt>
                <c:pt idx="13">
                  <c:v>Ultrastar C10K1200</c:v>
                </c:pt>
                <c:pt idx="14">
                  <c:v>Ultrastar C10K1800</c:v>
                </c:pt>
                <c:pt idx="15">
                  <c:v>Ultrastar C15K600</c:v>
                </c:pt>
                <c:pt idx="16">
                  <c:v>Ultrastar He6</c:v>
                </c:pt>
                <c:pt idx="17">
                  <c:v>Ultrastar He8</c:v>
                </c:pt>
                <c:pt idx="18">
                  <c:v>Ultrastar He10</c:v>
                </c:pt>
                <c:pt idx="19">
                  <c:v>Ultrastar He12</c:v>
                </c:pt>
                <c:pt idx="20">
                  <c:v>Ultrastar Hs14</c:v>
                </c:pt>
                <c:pt idx="21">
                  <c:v>Archive</c:v>
                </c:pt>
                <c:pt idx="22">
                  <c:v>Archive</c:v>
                </c:pt>
                <c:pt idx="23">
                  <c:v>Archive</c:v>
                </c:pt>
                <c:pt idx="24">
                  <c:v>BarraCuda</c:v>
                </c:pt>
                <c:pt idx="25">
                  <c:v>BarraCuda</c:v>
                </c:pt>
                <c:pt idx="26">
                  <c:v>BarraCuda</c:v>
                </c:pt>
                <c:pt idx="27">
                  <c:v>BarraCuda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 Pro</c:v>
                </c:pt>
                <c:pt idx="34">
                  <c:v>BarraCuda Pro</c:v>
                </c:pt>
                <c:pt idx="35">
                  <c:v>BarraCuda Pro</c:v>
                </c:pt>
                <c:pt idx="36">
                  <c:v>BarraCuda Pro</c:v>
                </c:pt>
                <c:pt idx="37">
                  <c:v>BarraCuda Pro</c:v>
                </c:pt>
                <c:pt idx="38">
                  <c:v>BarraCuda Pro</c:v>
                </c:pt>
                <c:pt idx="39">
                  <c:v>Exos 10E2400</c:v>
                </c:pt>
                <c:pt idx="40">
                  <c:v>Exos 10E2400</c:v>
                </c:pt>
                <c:pt idx="41">
                  <c:v>Exos 15E900</c:v>
                </c:pt>
                <c:pt idx="42">
                  <c:v>Exos 5E8</c:v>
                </c:pt>
                <c:pt idx="43">
                  <c:v>Exos 7E2</c:v>
                </c:pt>
                <c:pt idx="44">
                  <c:v>Exos 7E2</c:v>
                </c:pt>
                <c:pt idx="45">
                  <c:v>Exos 7E2000</c:v>
                </c:pt>
                <c:pt idx="46">
                  <c:v>Exos 7E2000</c:v>
                </c:pt>
                <c:pt idx="47">
                  <c:v>Exos 7E8</c:v>
                </c:pt>
                <c:pt idx="48">
                  <c:v>Exos 7E8</c:v>
                </c:pt>
                <c:pt idx="49">
                  <c:v>Exos 7E8</c:v>
                </c:pt>
                <c:pt idx="50">
                  <c:v>Exos 7E8</c:v>
                </c:pt>
                <c:pt idx="51">
                  <c:v>Exos 7E8</c:v>
                </c:pt>
                <c:pt idx="52">
                  <c:v>Exos X10</c:v>
                </c:pt>
                <c:pt idx="53">
                  <c:v>Exos X10</c:v>
                </c:pt>
                <c:pt idx="54">
                  <c:v>Exos X12</c:v>
                </c:pt>
                <c:pt idx="55">
                  <c:v>FireCuda SSHD</c:v>
                </c:pt>
                <c:pt idx="56">
                  <c:v>FireCuda SSHD</c:v>
                </c:pt>
                <c:pt idx="57">
                  <c:v>FireCuda SSHD</c:v>
                </c:pt>
                <c:pt idx="58">
                  <c:v>FireCuda SSHD</c:v>
                </c:pt>
                <c:pt idx="59">
                  <c:v>IronWolf</c:v>
                </c:pt>
                <c:pt idx="60">
                  <c:v>IronWolf</c:v>
                </c:pt>
                <c:pt idx="61">
                  <c:v>IronWolf</c:v>
                </c:pt>
                <c:pt idx="62">
                  <c:v>IronWolf</c:v>
                </c:pt>
                <c:pt idx="63">
                  <c:v>IronWolf</c:v>
                </c:pt>
                <c:pt idx="64">
                  <c:v>IronWolf</c:v>
                </c:pt>
                <c:pt idx="65">
                  <c:v>IronWolf</c:v>
                </c:pt>
                <c:pt idx="66">
                  <c:v>IronWolf</c:v>
                </c:pt>
                <c:pt idx="67">
                  <c:v>IronWolf Pro</c:v>
                </c:pt>
                <c:pt idx="68">
                  <c:v>IronWolf Pro</c:v>
                </c:pt>
                <c:pt idx="69">
                  <c:v>IronWolf Pro</c:v>
                </c:pt>
                <c:pt idx="70">
                  <c:v>IronWolf Pro</c:v>
                </c:pt>
                <c:pt idx="71">
                  <c:v>IronWolf Pro</c:v>
                </c:pt>
                <c:pt idx="72">
                  <c:v>IronWolf Pro</c:v>
                </c:pt>
                <c:pt idx="73">
                  <c:v>Terascale</c:v>
                </c:pt>
                <c:pt idx="74">
                  <c:v>DT01ACA</c:v>
                </c:pt>
                <c:pt idx="75">
                  <c:v>DT01ACA</c:v>
                </c:pt>
                <c:pt idx="76">
                  <c:v>DT01ACA</c:v>
                </c:pt>
                <c:pt idx="77">
                  <c:v>Enterprise Capacity</c:v>
                </c:pt>
                <c:pt idx="78">
                  <c:v>Enterprise Capacity</c:v>
                </c:pt>
                <c:pt idx="79">
                  <c:v>Enterprise Capacity</c:v>
                </c:pt>
                <c:pt idx="80">
                  <c:v>Enterprise Capacity</c:v>
                </c:pt>
                <c:pt idx="81">
                  <c:v>Enterprise Capacity</c:v>
                </c:pt>
                <c:pt idx="82">
                  <c:v>Enterprise Performance</c:v>
                </c:pt>
                <c:pt idx="83">
                  <c:v>Enterprise Performance</c:v>
                </c:pt>
                <c:pt idx="84">
                  <c:v>Enterprise Performance</c:v>
                </c:pt>
                <c:pt idx="85">
                  <c:v>Enterprise Performance</c:v>
                </c:pt>
                <c:pt idx="86">
                  <c:v>Enterprise Performance</c:v>
                </c:pt>
                <c:pt idx="87">
                  <c:v>N300</c:v>
                </c:pt>
                <c:pt idx="88">
                  <c:v>N300</c:v>
                </c:pt>
                <c:pt idx="89">
                  <c:v>N300</c:v>
                </c:pt>
                <c:pt idx="90">
                  <c:v>P300</c:v>
                </c:pt>
                <c:pt idx="91">
                  <c:v>P300</c:v>
                </c:pt>
                <c:pt idx="92">
                  <c:v>P300</c:v>
                </c:pt>
                <c:pt idx="93">
                  <c:v>X300</c:v>
                </c:pt>
                <c:pt idx="94">
                  <c:v>X300</c:v>
                </c:pt>
                <c:pt idx="95">
                  <c:v>X300</c:v>
                </c:pt>
                <c:pt idx="96">
                  <c:v>X300</c:v>
                </c:pt>
                <c:pt idx="97">
                  <c:v>Ae</c:v>
                </c:pt>
                <c:pt idx="98">
                  <c:v>Black</c:v>
                </c:pt>
                <c:pt idx="99">
                  <c:v>Black</c:v>
                </c:pt>
                <c:pt idx="100">
                  <c:v>Black</c:v>
                </c:pt>
                <c:pt idx="101">
                  <c:v>Black</c:v>
                </c:pt>
                <c:pt idx="102">
                  <c:v>Black</c:v>
                </c:pt>
                <c:pt idx="103">
                  <c:v>Blue</c:v>
                </c:pt>
                <c:pt idx="104">
                  <c:v>Blue</c:v>
                </c:pt>
                <c:pt idx="105">
                  <c:v>Blue</c:v>
                </c:pt>
                <c:pt idx="106">
                  <c:v>Blue</c:v>
                </c:pt>
                <c:pt idx="107">
                  <c:v>Blue</c:v>
                </c:pt>
                <c:pt idx="108">
                  <c:v>Blue</c:v>
                </c:pt>
                <c:pt idx="109">
                  <c:v>Blue</c:v>
                </c:pt>
                <c:pt idx="110">
                  <c:v>Gold Enterprise</c:v>
                </c:pt>
                <c:pt idx="111">
                  <c:v>Gold Enterprise</c:v>
                </c:pt>
                <c:pt idx="112">
                  <c:v>Gold Enterprise</c:v>
                </c:pt>
                <c:pt idx="113">
                  <c:v>Gold Enterprise</c:v>
                </c:pt>
                <c:pt idx="114">
                  <c:v>Gold Enterprise</c:v>
                </c:pt>
                <c:pt idx="115">
                  <c:v>Gold Enterprise</c:v>
                </c:pt>
                <c:pt idx="116">
                  <c:v>Gold Enterprise</c:v>
                </c:pt>
                <c:pt idx="117">
                  <c:v>Red NAS</c:v>
                </c:pt>
                <c:pt idx="118">
                  <c:v>Red NAS</c:v>
                </c:pt>
                <c:pt idx="119">
                  <c:v>Red NAS</c:v>
                </c:pt>
                <c:pt idx="120">
                  <c:v>Red NAS</c:v>
                </c:pt>
                <c:pt idx="121">
                  <c:v>Red NAS</c:v>
                </c:pt>
                <c:pt idx="122">
                  <c:v>Red NAS</c:v>
                </c:pt>
                <c:pt idx="123">
                  <c:v>Red NAS</c:v>
                </c:pt>
                <c:pt idx="124">
                  <c:v>Red NAS</c:v>
                </c:pt>
                <c:pt idx="125">
                  <c:v>Red NAS</c:v>
                </c:pt>
                <c:pt idx="126">
                  <c:v>Red NAS</c:v>
                </c:pt>
                <c:pt idx="127">
                  <c:v>RED NAS Pro</c:v>
                </c:pt>
                <c:pt idx="128">
                  <c:v>RED NAS Pro</c:v>
                </c:pt>
                <c:pt idx="129">
                  <c:v>RED NAS Pro</c:v>
                </c:pt>
                <c:pt idx="130">
                  <c:v>RED NAS Pro</c:v>
                </c:pt>
                <c:pt idx="131">
                  <c:v>RED NAS Pro</c:v>
                </c:pt>
                <c:pt idx="132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Table'!$F$3:$F$136</c:f>
              <c:numCache>
                <c:formatCode>0.00</c:formatCode>
                <c:ptCount val="134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8</c:v>
                </c:pt>
                <c:pt idx="13">
                  <c:v>1.2</c:v>
                </c:pt>
                <c:pt idx="14">
                  <c:v>1.8</c:v>
                </c:pt>
                <c:pt idx="15">
                  <c:v>0.6</c:v>
                </c:pt>
                <c:pt idx="16">
                  <c:v>6</c:v>
                </c:pt>
                <c:pt idx="17">
                  <c:v>8</c:v>
                </c:pt>
                <c:pt idx="18">
                  <c:v>10</c:v>
                </c:pt>
                <c:pt idx="19">
                  <c:v>12</c:v>
                </c:pt>
                <c:pt idx="20">
                  <c:v>14</c:v>
                </c:pt>
                <c:pt idx="21">
                  <c:v>5</c:v>
                </c:pt>
                <c:pt idx="22">
                  <c:v>6</c:v>
                </c:pt>
                <c:pt idx="23">
                  <c:v>8</c:v>
                </c:pt>
                <c:pt idx="24">
                  <c:v>1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2</c:v>
                </c:pt>
                <c:pt idx="34">
                  <c:v>4</c:v>
                </c:pt>
                <c:pt idx="35">
                  <c:v>6</c:v>
                </c:pt>
                <c:pt idx="36">
                  <c:v>8</c:v>
                </c:pt>
                <c:pt idx="37">
                  <c:v>10</c:v>
                </c:pt>
                <c:pt idx="38">
                  <c:v>12</c:v>
                </c:pt>
                <c:pt idx="39">
                  <c:v>1.8</c:v>
                </c:pt>
                <c:pt idx="40">
                  <c:v>2.4</c:v>
                </c:pt>
                <c:pt idx="41">
                  <c:v>0.9</c:v>
                </c:pt>
                <c:pt idx="42">
                  <c:v>8</c:v>
                </c:pt>
                <c:pt idx="43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  <c:pt idx="48">
                  <c:v>2</c:v>
                </c:pt>
                <c:pt idx="49">
                  <c:v>4</c:v>
                </c:pt>
                <c:pt idx="50">
                  <c:v>6</c:v>
                </c:pt>
                <c:pt idx="51">
                  <c:v>8</c:v>
                </c:pt>
                <c:pt idx="52">
                  <c:v>8</c:v>
                </c:pt>
                <c:pt idx="53">
                  <c:v>10</c:v>
                </c:pt>
                <c:pt idx="54">
                  <c:v>12</c:v>
                </c:pt>
                <c:pt idx="55">
                  <c:v>1</c:v>
                </c:pt>
                <c:pt idx="56">
                  <c:v>2</c:v>
                </c:pt>
                <c:pt idx="57">
                  <c:v>1</c:v>
                </c:pt>
                <c:pt idx="58">
                  <c:v>2</c:v>
                </c:pt>
                <c:pt idx="59">
                  <c:v>1</c:v>
                </c:pt>
                <c:pt idx="60">
                  <c:v>2</c:v>
                </c:pt>
                <c:pt idx="61">
                  <c:v>3</c:v>
                </c:pt>
                <c:pt idx="62">
                  <c:v>4</c:v>
                </c:pt>
                <c:pt idx="63">
                  <c:v>6</c:v>
                </c:pt>
                <c:pt idx="64">
                  <c:v>8</c:v>
                </c:pt>
                <c:pt idx="65">
                  <c:v>10</c:v>
                </c:pt>
                <c:pt idx="66">
                  <c:v>12</c:v>
                </c:pt>
                <c:pt idx="67">
                  <c:v>2</c:v>
                </c:pt>
                <c:pt idx="68">
                  <c:v>4</c:v>
                </c:pt>
                <c:pt idx="69">
                  <c:v>6</c:v>
                </c:pt>
                <c:pt idx="70">
                  <c:v>8</c:v>
                </c:pt>
                <c:pt idx="71">
                  <c:v>10</c:v>
                </c:pt>
                <c:pt idx="72">
                  <c:v>12</c:v>
                </c:pt>
                <c:pt idx="73">
                  <c:v>4</c:v>
                </c:pt>
                <c:pt idx="74">
                  <c:v>1</c:v>
                </c:pt>
                <c:pt idx="75">
                  <c:v>2</c:v>
                </c:pt>
                <c:pt idx="76">
                  <c:v>3</c:v>
                </c:pt>
                <c:pt idx="77">
                  <c:v>6</c:v>
                </c:pt>
                <c:pt idx="78">
                  <c:v>8</c:v>
                </c:pt>
                <c:pt idx="79">
                  <c:v>10</c:v>
                </c:pt>
                <c:pt idx="80">
                  <c:v>12</c:v>
                </c:pt>
                <c:pt idx="81">
                  <c:v>14</c:v>
                </c:pt>
                <c:pt idx="82">
                  <c:v>1.2</c:v>
                </c:pt>
                <c:pt idx="83">
                  <c:v>1.8</c:v>
                </c:pt>
                <c:pt idx="84">
                  <c:v>2.4</c:v>
                </c:pt>
                <c:pt idx="85">
                  <c:v>0.6</c:v>
                </c:pt>
                <c:pt idx="86">
                  <c:v>0.9</c:v>
                </c:pt>
                <c:pt idx="87">
                  <c:v>4</c:v>
                </c:pt>
                <c:pt idx="88">
                  <c:v>6</c:v>
                </c:pt>
                <c:pt idx="89">
                  <c:v>8</c:v>
                </c:pt>
                <c:pt idx="90">
                  <c:v>1</c:v>
                </c:pt>
                <c:pt idx="91">
                  <c:v>2</c:v>
                </c:pt>
                <c:pt idx="92">
                  <c:v>3</c:v>
                </c:pt>
                <c:pt idx="93">
                  <c:v>4</c:v>
                </c:pt>
                <c:pt idx="94">
                  <c:v>5</c:v>
                </c:pt>
                <c:pt idx="95">
                  <c:v>6</c:v>
                </c:pt>
                <c:pt idx="96">
                  <c:v>8</c:v>
                </c:pt>
                <c:pt idx="97">
                  <c:v>6</c:v>
                </c:pt>
                <c:pt idx="98">
                  <c:v>1</c:v>
                </c:pt>
                <c:pt idx="99">
                  <c:v>1</c:v>
                </c:pt>
                <c:pt idx="100">
                  <c:v>2</c:v>
                </c:pt>
                <c:pt idx="101">
                  <c:v>4</c:v>
                </c:pt>
                <c:pt idx="102">
                  <c:v>6</c:v>
                </c:pt>
                <c:pt idx="103">
                  <c:v>1</c:v>
                </c:pt>
                <c:pt idx="104">
                  <c:v>2</c:v>
                </c:pt>
                <c:pt idx="105">
                  <c:v>3</c:v>
                </c:pt>
                <c:pt idx="106">
                  <c:v>4</c:v>
                </c:pt>
                <c:pt idx="107">
                  <c:v>6</c:v>
                </c:pt>
                <c:pt idx="108">
                  <c:v>1</c:v>
                </c:pt>
                <c:pt idx="109">
                  <c:v>2</c:v>
                </c:pt>
                <c:pt idx="110">
                  <c:v>1</c:v>
                </c:pt>
                <c:pt idx="111">
                  <c:v>2</c:v>
                </c:pt>
                <c:pt idx="112">
                  <c:v>4</c:v>
                </c:pt>
                <c:pt idx="113">
                  <c:v>6</c:v>
                </c:pt>
                <c:pt idx="114">
                  <c:v>8</c:v>
                </c:pt>
                <c:pt idx="115">
                  <c:v>10</c:v>
                </c:pt>
                <c:pt idx="116">
                  <c:v>12</c:v>
                </c:pt>
                <c:pt idx="117">
                  <c:v>0.75</c:v>
                </c:pt>
                <c:pt idx="118">
                  <c:v>1</c:v>
                </c:pt>
                <c:pt idx="119">
                  <c:v>1</c:v>
                </c:pt>
                <c:pt idx="120">
                  <c:v>2</c:v>
                </c:pt>
                <c:pt idx="121">
                  <c:v>3</c:v>
                </c:pt>
                <c:pt idx="122">
                  <c:v>4</c:v>
                </c:pt>
                <c:pt idx="123">
                  <c:v>5</c:v>
                </c:pt>
                <c:pt idx="124">
                  <c:v>6</c:v>
                </c:pt>
                <c:pt idx="125">
                  <c:v>8</c:v>
                </c:pt>
                <c:pt idx="126">
                  <c:v>10</c:v>
                </c:pt>
                <c:pt idx="127">
                  <c:v>2</c:v>
                </c:pt>
                <c:pt idx="128">
                  <c:v>3</c:v>
                </c:pt>
                <c:pt idx="129">
                  <c:v>4</c:v>
                </c:pt>
                <c:pt idx="130">
                  <c:v>6</c:v>
                </c:pt>
                <c:pt idx="131">
                  <c:v>8</c:v>
                </c:pt>
                <c:pt idx="132">
                  <c:v>10</c:v>
                </c:pt>
                <c:pt idx="133">
                  <c:v>0.6</c:v>
                </c:pt>
              </c:numCache>
            </c:numRef>
          </c:xVal>
          <c:yVal>
            <c:numRef>
              <c:f>'Drive Table'!$X$3:$X$136</c:f>
              <c:numCache>
                <c:formatCode>"$"#,##0.00</c:formatCode>
                <c:ptCount val="134"/>
                <c:pt idx="0">
                  <c:v>27.498750000000001</c:v>
                </c:pt>
                <c:pt idx="1">
                  <c:v>27.498333333333335</c:v>
                </c:pt>
                <c:pt idx="2">
                  <c:v>30.623750000000001</c:v>
                </c:pt>
                <c:pt idx="3">
                  <c:v>31.9</c:v>
                </c:pt>
                <c:pt idx="4">
                  <c:v>49.99</c:v>
                </c:pt>
                <c:pt idx="5">
                  <c:v>54.99</c:v>
                </c:pt>
                <c:pt idx="6">
                  <c:v>53.9</c:v>
                </c:pt>
                <c:pt idx="7">
                  <c:v>60.69</c:v>
                </c:pt>
                <c:pt idx="8">
                  <c:v>73.19</c:v>
                </c:pt>
                <c:pt idx="9">
                  <c:v>48.712499999999999</c:v>
                </c:pt>
                <c:pt idx="10">
                  <c:v>56.391999999999996</c:v>
                </c:pt>
                <c:pt idx="11">
                  <c:v>42.936666666666667</c:v>
                </c:pt>
                <c:pt idx="12">
                  <c:v>46.625</c:v>
                </c:pt>
                <c:pt idx="13">
                  <c:v>141.66666666666669</c:v>
                </c:pt>
                <c:pt idx="14">
                  <c:v>127.77222222222223</c:v>
                </c:pt>
                <c:pt idx="15">
                  <c:v>316.58333333333331</c:v>
                </c:pt>
                <c:pt idx="16">
                  <c:v>28.331666666666667</c:v>
                </c:pt>
                <c:pt idx="17">
                  <c:v>24.998750000000001</c:v>
                </c:pt>
                <c:pt idx="18">
                  <c:v>36.999000000000002</c:v>
                </c:pt>
                <c:pt idx="19">
                  <c:v>60.833333333333336</c:v>
                </c:pt>
                <c:pt idx="20">
                  <c:v>0</c:v>
                </c:pt>
                <c:pt idx="21">
                  <c:v>42.4</c:v>
                </c:pt>
                <c:pt idx="22">
                  <c:v>32.464999999999996</c:v>
                </c:pt>
                <c:pt idx="23">
                  <c:v>27.734999999999999</c:v>
                </c:pt>
                <c:pt idx="24">
                  <c:v>42.49</c:v>
                </c:pt>
                <c:pt idx="25">
                  <c:v>33.494999999999997</c:v>
                </c:pt>
                <c:pt idx="26">
                  <c:v>29.996666666666666</c:v>
                </c:pt>
                <c:pt idx="27">
                  <c:v>22.497499999999999</c:v>
                </c:pt>
                <c:pt idx="28">
                  <c:v>49.99</c:v>
                </c:pt>
                <c:pt idx="29">
                  <c:v>34.994999999999997</c:v>
                </c:pt>
                <c:pt idx="30">
                  <c:v>29.996666666666666</c:v>
                </c:pt>
                <c:pt idx="31">
                  <c:v>23.247499999999999</c:v>
                </c:pt>
                <c:pt idx="32">
                  <c:v>41.998000000000005</c:v>
                </c:pt>
                <c:pt idx="33">
                  <c:v>59.994999999999997</c:v>
                </c:pt>
                <c:pt idx="34">
                  <c:v>43.744999999999997</c:v>
                </c:pt>
                <c:pt idx="35">
                  <c:v>39.164999999999999</c:v>
                </c:pt>
                <c:pt idx="36">
                  <c:v>37.498750000000001</c:v>
                </c:pt>
                <c:pt idx="37">
                  <c:v>37.999000000000002</c:v>
                </c:pt>
                <c:pt idx="38">
                  <c:v>41.665833333333332</c:v>
                </c:pt>
                <c:pt idx="39">
                  <c:v>0</c:v>
                </c:pt>
                <c:pt idx="40">
                  <c:v>214.57916666666668</c:v>
                </c:pt>
                <c:pt idx="41">
                  <c:v>0</c:v>
                </c:pt>
                <c:pt idx="42">
                  <c:v>28.748750000000001</c:v>
                </c:pt>
                <c:pt idx="43">
                  <c:v>0</c:v>
                </c:pt>
                <c:pt idx="44">
                  <c:v>153.30000000000001</c:v>
                </c:pt>
                <c:pt idx="45">
                  <c:v>184.41</c:v>
                </c:pt>
                <c:pt idx="46">
                  <c:v>164.995</c:v>
                </c:pt>
                <c:pt idx="47">
                  <c:v>99.99</c:v>
                </c:pt>
                <c:pt idx="48">
                  <c:v>57.494999999999997</c:v>
                </c:pt>
                <c:pt idx="49">
                  <c:v>42.497500000000002</c:v>
                </c:pt>
                <c:pt idx="50">
                  <c:v>33.998333333333335</c:v>
                </c:pt>
                <c:pt idx="51">
                  <c:v>32.498750000000001</c:v>
                </c:pt>
                <c:pt idx="52">
                  <c:v>32.498750000000001</c:v>
                </c:pt>
                <c:pt idx="53">
                  <c:v>36.499000000000002</c:v>
                </c:pt>
                <c:pt idx="54">
                  <c:v>38.498333333333335</c:v>
                </c:pt>
                <c:pt idx="55">
                  <c:v>87.22</c:v>
                </c:pt>
                <c:pt idx="56">
                  <c:v>49.994999999999997</c:v>
                </c:pt>
                <c:pt idx="57">
                  <c:v>68.319999999999993</c:v>
                </c:pt>
                <c:pt idx="58">
                  <c:v>42.494999999999997</c:v>
                </c:pt>
                <c:pt idx="59">
                  <c:v>54.99</c:v>
                </c:pt>
                <c:pt idx="60">
                  <c:v>42.494999999999997</c:v>
                </c:pt>
                <c:pt idx="61">
                  <c:v>34.996666666666663</c:v>
                </c:pt>
                <c:pt idx="62">
                  <c:v>28.747499999999999</c:v>
                </c:pt>
                <c:pt idx="63">
                  <c:v>31.665000000000003</c:v>
                </c:pt>
                <c:pt idx="64">
                  <c:v>28.748750000000001</c:v>
                </c:pt>
                <c:pt idx="65">
                  <c:v>29.999000000000002</c:v>
                </c:pt>
                <c:pt idx="66">
                  <c:v>33.082500000000003</c:v>
                </c:pt>
                <c:pt idx="67">
                  <c:v>62.494999999999997</c:v>
                </c:pt>
                <c:pt idx="68">
                  <c:v>47.497500000000002</c:v>
                </c:pt>
                <c:pt idx="69">
                  <c:v>43.331666666666671</c:v>
                </c:pt>
                <c:pt idx="70">
                  <c:v>29.875</c:v>
                </c:pt>
                <c:pt idx="71">
                  <c:v>36.999000000000002</c:v>
                </c:pt>
                <c:pt idx="72">
                  <c:v>42.499166666666667</c:v>
                </c:pt>
                <c:pt idx="73">
                  <c:v>47.497500000000002</c:v>
                </c:pt>
                <c:pt idx="74">
                  <c:v>42.99</c:v>
                </c:pt>
                <c:pt idx="75">
                  <c:v>27.495000000000001</c:v>
                </c:pt>
                <c:pt idx="76">
                  <c:v>25.996666666666666</c:v>
                </c:pt>
                <c:pt idx="77">
                  <c:v>45.361666666666672</c:v>
                </c:pt>
                <c:pt idx="78">
                  <c:v>32.498750000000001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187.5</c:v>
                </c:pt>
                <c:pt idx="83">
                  <c:v>222.21666666666667</c:v>
                </c:pt>
                <c:pt idx="84">
                  <c:v>0</c:v>
                </c:pt>
                <c:pt idx="85">
                  <c:v>0</c:v>
                </c:pt>
                <c:pt idx="86">
                  <c:v>215.98888888888888</c:v>
                </c:pt>
                <c:pt idx="87">
                  <c:v>34.997500000000002</c:v>
                </c:pt>
                <c:pt idx="88">
                  <c:v>34.164999999999999</c:v>
                </c:pt>
                <c:pt idx="89">
                  <c:v>28.498750000000001</c:v>
                </c:pt>
                <c:pt idx="90">
                  <c:v>49.99</c:v>
                </c:pt>
                <c:pt idx="91">
                  <c:v>34.994999999999997</c:v>
                </c:pt>
                <c:pt idx="92">
                  <c:v>24.723333333333333</c:v>
                </c:pt>
                <c:pt idx="93">
                  <c:v>29.997499999999999</c:v>
                </c:pt>
                <c:pt idx="94">
                  <c:v>22.997999999999998</c:v>
                </c:pt>
                <c:pt idx="95">
                  <c:v>31.665000000000003</c:v>
                </c:pt>
                <c:pt idx="96">
                  <c:v>31.248750000000001</c:v>
                </c:pt>
                <c:pt idx="97">
                  <c:v>26.665000000000003</c:v>
                </c:pt>
                <c:pt idx="98">
                  <c:v>59.99</c:v>
                </c:pt>
                <c:pt idx="99">
                  <c:v>64.989999999999995</c:v>
                </c:pt>
                <c:pt idx="100">
                  <c:v>62.494999999999997</c:v>
                </c:pt>
                <c:pt idx="101">
                  <c:v>42.497500000000002</c:v>
                </c:pt>
                <c:pt idx="102">
                  <c:v>38.331666666666671</c:v>
                </c:pt>
                <c:pt idx="103">
                  <c:v>49</c:v>
                </c:pt>
                <c:pt idx="104">
                  <c:v>29.995000000000001</c:v>
                </c:pt>
                <c:pt idx="105">
                  <c:v>26.66333333333333</c:v>
                </c:pt>
                <c:pt idx="106">
                  <c:v>27.497499999999999</c:v>
                </c:pt>
                <c:pt idx="107">
                  <c:v>32.831666666666671</c:v>
                </c:pt>
                <c:pt idx="108">
                  <c:v>47.99</c:v>
                </c:pt>
                <c:pt idx="109">
                  <c:v>70.91</c:v>
                </c:pt>
                <c:pt idx="110">
                  <c:v>83.76</c:v>
                </c:pt>
                <c:pt idx="111">
                  <c:v>59.994999999999997</c:v>
                </c:pt>
                <c:pt idx="112">
                  <c:v>41.497500000000002</c:v>
                </c:pt>
                <c:pt idx="113">
                  <c:v>38.331666666666671</c:v>
                </c:pt>
                <c:pt idx="114">
                  <c:v>36.248750000000001</c:v>
                </c:pt>
                <c:pt idx="115">
                  <c:v>33.999000000000002</c:v>
                </c:pt>
                <c:pt idx="116">
                  <c:v>34.999166666666667</c:v>
                </c:pt>
                <c:pt idx="117">
                  <c:v>85.293333333333337</c:v>
                </c:pt>
                <c:pt idx="118">
                  <c:v>79.55</c:v>
                </c:pt>
                <c:pt idx="119">
                  <c:v>59.99</c:v>
                </c:pt>
                <c:pt idx="120">
                  <c:v>42.494999999999997</c:v>
                </c:pt>
                <c:pt idx="121">
                  <c:v>29.996666666666666</c:v>
                </c:pt>
                <c:pt idx="122">
                  <c:v>31.247499999999999</c:v>
                </c:pt>
                <c:pt idx="123">
                  <c:v>52.4</c:v>
                </c:pt>
                <c:pt idx="124">
                  <c:v>31.665000000000003</c:v>
                </c:pt>
                <c:pt idx="125">
                  <c:v>31.248750000000001</c:v>
                </c:pt>
                <c:pt idx="126">
                  <c:v>35.999000000000002</c:v>
                </c:pt>
                <c:pt idx="127">
                  <c:v>60.494999999999997</c:v>
                </c:pt>
                <c:pt idx="128">
                  <c:v>69.99666666666667</c:v>
                </c:pt>
                <c:pt idx="129">
                  <c:v>43.747500000000002</c:v>
                </c:pt>
                <c:pt idx="130">
                  <c:v>34.998333333333335</c:v>
                </c:pt>
                <c:pt idx="131">
                  <c:v>36.248750000000001</c:v>
                </c:pt>
                <c:pt idx="132">
                  <c:v>44.076999999999998</c:v>
                </c:pt>
                <c:pt idx="133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699336472"/>
        <c:axId val="699352544"/>
      </c:scatterChart>
      <c:valAx>
        <c:axId val="699336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52544"/>
        <c:crosses val="autoZero"/>
        <c:crossBetween val="midCat"/>
      </c:valAx>
      <c:valAx>
        <c:axId val="699352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336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103.141768518515" createdVersion="6" refreshedVersion="5" minRefreshableVersion="3" recordCount="133">
  <cacheSource type="worksheet">
    <worksheetSource name="Table5" r:id="rId2"/>
  </cacheSource>
  <cacheFields count="30">
    <cacheField name="Date" numFmtId="14">
      <sharedItems containsSemiMixedTypes="0" containsNonDate="0" containsDate="1" containsString="0" minDate="2017-09-23T00:00:00" maxDate="2018-01-02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.3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49" maxValue="730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  <cacheField name="DBA_Idle" numFmtId="1">
      <sharedItems containsString="0" containsBlank="1" containsNumber="1" containsInteger="1" minValue="20" maxValue="31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103.1417693287" createdVersion="6" refreshedVersion="5" minRefreshableVersion="3" recordCount="128">
  <cacheSource type="worksheet">
    <worksheetSource ref="A2:AA130" sheet="Drive Table" r:id="rId2"/>
  </cacheSource>
  <cacheFields count="27">
    <cacheField name="Date" numFmtId="14">
      <sharedItems containsSemiMixedTypes="0" containsNonDate="0" containsDate="1" containsString="0" minDate="2017-09-27T00:00:00" maxDate="2018-01-02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.3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49" maxValue="730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3">
  <r>
    <d v="2017-10-28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09.995"/>
    <n v="27.498750000000001"/>
    <n v="134.19390000000001"/>
    <n v="33.548475000000003"/>
    <n v="6.7096950000000009"/>
    <m/>
    <m/>
    <s v="Enterprise HGST drives are now"/>
  </r>
  <r>
    <d v="2018-01-01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64.99"/>
    <n v="27.498333333333335"/>
    <n v="201.2878"/>
    <n v="33.547966666666667"/>
    <n v="6.7095933333333333"/>
    <m/>
    <m/>
    <s v="owned by WD"/>
  </r>
  <r>
    <d v="2017-12-25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44.99"/>
    <n v="30.623750000000001"/>
    <n v="298.88780000000003"/>
    <n v="37.360975000000003"/>
    <n v="7.472195000000001"/>
    <m/>
    <m/>
    <m/>
  </r>
  <r>
    <d v="2017-12-11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319"/>
    <n v="31.9"/>
    <n v="389.18"/>
    <n v="38.917999999999999"/>
    <n v="7.7835999999999999"/>
    <m/>
    <m/>
    <m/>
  </r>
  <r>
    <d v="2017-09-2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9.99"/>
    <n v="49.99"/>
    <n v="60.9878"/>
    <n v="60.9878"/>
    <n v="12.197559999999999"/>
    <m/>
    <m/>
    <m/>
  </r>
  <r>
    <d v="2017-12-11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54.99"/>
    <n v="54.99"/>
    <n v="67.087800000000001"/>
    <n v="67.087800000000001"/>
    <n v="13.41756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m/>
    <m/>
    <m/>
  </r>
  <r>
    <d v="2017-11-14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6.38"/>
    <n v="73.19"/>
    <n v="146.38"/>
    <n v="73.19"/>
    <n v="14.638"/>
    <m/>
    <m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m/>
    <m/>
    <m/>
  </r>
  <r>
    <d v="2017-11-14T00:00:00"/>
    <x v="0"/>
    <s v="Ultrastar 7K6000"/>
    <x v="0"/>
    <x v="0"/>
    <x v="6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m/>
    <m/>
    <m/>
  </r>
  <r>
    <d v="2017-11-14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57.62"/>
    <n v="42.936666666666667"/>
    <n v="257.62"/>
    <n v="42.936666666666667"/>
    <n v="8.5873333333333335"/>
    <m/>
    <m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m/>
    <m/>
    <s v="Helium filled, Shingled (SMR)"/>
  </r>
  <r>
    <d v="2017-11-08T00:00:00"/>
    <x v="0"/>
    <s v="Ultrastar C10K1200"/>
    <x v="0"/>
    <x v="1"/>
    <x v="7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  <m/>
    <m/>
  </r>
  <r>
    <d v="2017-11-08T00:00:00"/>
    <x v="0"/>
    <s v="Ultrastar C10K1800"/>
    <x v="0"/>
    <x v="1"/>
    <x v="8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229.99"/>
    <n v="127.77222222222223"/>
    <n v="229.99"/>
    <n v="127.77222222222223"/>
    <n v="25.554444444444446"/>
    <m/>
    <m/>
    <m/>
  </r>
  <r>
    <d v="2017-11-11T00:00:00"/>
    <x v="0"/>
    <s v="Ultrastar C15K600"/>
    <x v="0"/>
    <x v="1"/>
    <x v="9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m/>
    <m/>
    <s v="32GB NAND, Media caching"/>
  </r>
  <r>
    <d v="2017-10-11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  <m/>
    <m/>
    <s v="Helium filled"/>
  </r>
  <r>
    <d v="2017-12-25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199.99"/>
    <n v="24.998750000000001"/>
    <n v="199.99"/>
    <n v="24.998750000000001"/>
    <n v="4.9997500000000006"/>
    <m/>
    <m/>
    <s v="Helium filled, Media caching"/>
  </r>
  <r>
    <d v="2017-11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  <m/>
    <m/>
    <s v="Helium filled"/>
  </r>
  <r>
    <d v="2017-11-27T00:00:00"/>
    <x v="0"/>
    <s v="Ultrastar He12"/>
    <x v="0"/>
    <x v="0"/>
    <x v="10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  <m/>
    <m/>
    <s v="Helium filled"/>
  </r>
  <r>
    <d v="2017-10-13T00:00:00"/>
    <x v="0"/>
    <s v="Ultrastar Hs14"/>
    <x v="2"/>
    <x v="0"/>
    <x v="11"/>
    <x v="0"/>
    <n v="4.16"/>
    <n v="12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m/>
    <n v="0"/>
    <n v="0"/>
    <n v="0"/>
    <n v="0"/>
    <m/>
    <m/>
    <s v="Helium filled, Shingled (SMR)"/>
  </r>
  <r>
    <d v="2017-11-25T00:00:00"/>
    <x v="1"/>
    <s v="Archive"/>
    <x v="2"/>
    <x v="0"/>
    <x v="6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  <m/>
    <m/>
  </r>
  <r>
    <d v="2017-11-30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2.49"/>
    <n v="42.49"/>
    <n v="56.511700000000005"/>
    <n v="56.511700000000005"/>
    <n v="11.302340000000001"/>
    <m/>
    <m/>
    <m/>
  </r>
  <r>
    <d v="2017-11-26T00:00:00"/>
    <x v="1"/>
    <s v="BarraCuda"/>
    <x v="3"/>
    <x v="0"/>
    <x v="5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3.2433312000000005"/>
    <n v="66.989999999999995"/>
    <n v="33.494999999999997"/>
    <n v="89.096699999999998"/>
    <n v="44.548349999999999"/>
    <n v="8.9096700000000002"/>
    <m/>
    <m/>
    <m/>
  </r>
  <r>
    <d v="2017-12-11T00:00:00"/>
    <x v="1"/>
    <s v="BarraCuda"/>
    <x v="3"/>
    <x v="0"/>
    <x v="12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2.1622208000000005"/>
    <n v="89.99"/>
    <n v="29.996666666666666"/>
    <n v="119.6867"/>
    <n v="39.895566666666667"/>
    <n v="7.9791133333333333"/>
    <m/>
    <m/>
    <m/>
  </r>
  <r>
    <d v="2017-11-11T00:00:00"/>
    <x v="1"/>
    <s v="BarraCuda"/>
    <x v="3"/>
    <x v="0"/>
    <x v="0"/>
    <x v="0"/>
    <n v="6"/>
    <n v="9.5"/>
    <n v="0.33333333333333326"/>
    <n v="190"/>
    <n v="2"/>
    <n v="300000"/>
    <n v="55"/>
    <x v="1"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  <m/>
    <m/>
    <m/>
  </r>
  <r>
    <d v="2017-10-11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  <m/>
    <m/>
    <m/>
  </r>
  <r>
    <d v="2017-11-27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  <m/>
    <m/>
    <m/>
  </r>
  <r>
    <d v="2017-10-11T00:00:00"/>
    <x v="1"/>
    <s v="BarraCuda"/>
    <x v="1"/>
    <x v="1"/>
    <x v="12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  <m/>
    <m/>
    <m/>
  </r>
  <r>
    <d v="2017-10-11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  <m/>
    <m/>
    <m/>
  </r>
  <r>
    <d v="2017-1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  <m/>
    <m/>
    <m/>
  </r>
  <r>
    <d v="2017-12-19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19.99"/>
    <n v="59.994999999999997"/>
    <n v="119.99"/>
    <n v="59.994999999999997"/>
    <n v="11.998999999999999"/>
    <m/>
    <m/>
    <m/>
  </r>
  <r>
    <d v="2017-12-19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74.98"/>
    <n v="43.744999999999997"/>
    <n v="174.98"/>
    <n v="43.744999999999997"/>
    <n v="8.7489999999999988"/>
    <m/>
    <m/>
    <m/>
  </r>
  <r>
    <d v="2017-12-19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34.99"/>
    <n v="39.164999999999999"/>
    <n v="234.99"/>
    <n v="39.164999999999999"/>
    <n v="7.8330000000000002"/>
    <m/>
    <m/>
    <m/>
  </r>
  <r>
    <d v="2017-12-19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99.99"/>
    <n v="37.498750000000001"/>
    <n v="299.99"/>
    <n v="37.498750000000001"/>
    <n v="7.4997500000000006"/>
    <m/>
    <m/>
    <m/>
  </r>
  <r>
    <d v="2017-12-19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79.99"/>
    <n v="37.999000000000002"/>
    <n v="379.99"/>
    <n v="37.999000000000002"/>
    <n v="7.5998000000000001"/>
    <m/>
    <m/>
    <m/>
  </r>
  <r>
    <d v="2017-11-27T00:00:00"/>
    <x v="1"/>
    <s v="BarraCuda Pro"/>
    <x v="3"/>
    <x v="0"/>
    <x v="10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99.99"/>
    <n v="41.665833333333332"/>
    <n v="499.99"/>
    <n v="41.665833333333332"/>
    <n v="8.3331666666666671"/>
    <m/>
    <m/>
    <m/>
  </r>
  <r>
    <d v="2017-10-19T00:00:00"/>
    <x v="1"/>
    <s v="Exos 10E2400"/>
    <x v="0"/>
    <x v="1"/>
    <x v="8"/>
    <x v="5"/>
    <n v="2.9"/>
    <m/>
    <n v="0.94444444444444442"/>
    <n v="270"/>
    <n v="5"/>
    <m/>
    <n v="550"/>
    <x v="2"/>
    <n v="1E+16"/>
    <m/>
    <n v="6.95"/>
    <n v="4.26"/>
    <m/>
    <n v="5.2572645600000003"/>
    <n v="2.9207025333333334"/>
    <m/>
    <n v="0"/>
    <n v="0"/>
    <n v="0"/>
    <n v="0"/>
    <m/>
    <m/>
    <s v="16GiB NAND"/>
  </r>
  <r>
    <d v="2017-10-19T00:00:00"/>
    <x v="1"/>
    <s v="Exos 10E2400"/>
    <x v="0"/>
    <x v="1"/>
    <x v="13"/>
    <x v="5"/>
    <n v="2.9"/>
    <m/>
    <n v="0.94444444444444442"/>
    <n v="270"/>
    <n v="5"/>
    <m/>
    <n v="550"/>
    <x v="2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  <m/>
    <m/>
    <s v="16GiB NAND"/>
  </r>
  <r>
    <d v="2017-10-19T00:00:00"/>
    <x v="1"/>
    <s v="Exos 15E900"/>
    <x v="0"/>
    <x v="0"/>
    <x v="14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m/>
    <n v="0"/>
    <n v="0"/>
    <n v="0"/>
    <n v="0"/>
    <m/>
    <m/>
    <s v="8GiB NAND"/>
  </r>
  <r>
    <d v="2017-10-19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  <m/>
    <m/>
    <s v="Shingled (SMR)"/>
  </r>
  <r>
    <d v="2017-10-19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m/>
    <n v="0"/>
    <n v="0"/>
    <n v="0"/>
    <n v="0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  <m/>
    <m/>
  </r>
  <r>
    <d v="2017-10-29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84.41"/>
    <n v="184.41"/>
    <n v="184.41"/>
    <n v="184.41"/>
    <n v="36.881999999999998"/>
    <m/>
    <m/>
    <m/>
  </r>
  <r>
    <d v="2017-10-19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329.99"/>
    <n v="164.995"/>
    <n v="329.99"/>
    <n v="164.995"/>
    <n v="32.999000000000002"/>
    <m/>
    <m/>
    <m/>
  </r>
  <r>
    <d v="2017-10-19T00:00:00"/>
    <x v="1"/>
    <s v="Exos 7E8"/>
    <x v="0"/>
    <x v="0"/>
    <x v="4"/>
    <x v="0"/>
    <n v="4.16"/>
    <m/>
    <n v="0.33333333333333326"/>
    <n v="215"/>
    <n v="5"/>
    <m/>
    <n v="550"/>
    <x v="2"/>
    <n v="1000000000000000"/>
    <m/>
    <n v="5.91"/>
    <n v="4.25"/>
    <m/>
    <n v="5.0205890399999999"/>
    <n v="5.0205890399999999"/>
    <n v="99.99"/>
    <n v="99.99"/>
    <n v="99.99"/>
    <n v="99.99"/>
    <n v="19.997999999999998"/>
    <m/>
    <m/>
    <m/>
  </r>
  <r>
    <d v="2017-12-11T00:00:00"/>
    <x v="1"/>
    <s v="Exos 7E8"/>
    <x v="0"/>
    <x v="0"/>
    <x v="5"/>
    <x v="0"/>
    <n v="4.16"/>
    <m/>
    <n v="0.33333333333333326"/>
    <n v="226"/>
    <n v="5"/>
    <m/>
    <n v="550"/>
    <x v="2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  <m/>
    <m/>
    <m/>
  </r>
  <r>
    <d v="2017-12-11T00:00:00"/>
    <x v="1"/>
    <s v="Exos 7E8"/>
    <x v="0"/>
    <x v="0"/>
    <x v="0"/>
    <x v="0"/>
    <n v="4.16"/>
    <m/>
    <n v="0.33333333333333326"/>
    <n v="226"/>
    <n v="5"/>
    <m/>
    <n v="550"/>
    <x v="2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  <m/>
    <m/>
    <m/>
  </r>
  <r>
    <d v="2017-12-11T00:00:00"/>
    <x v="1"/>
    <s v="Exos 7E8"/>
    <x v="0"/>
    <x v="0"/>
    <x v="1"/>
    <x v="0"/>
    <n v="4.16"/>
    <m/>
    <n v="0.33333333333333326"/>
    <n v="226"/>
    <n v="5"/>
    <m/>
    <n v="550"/>
    <x v="2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  <m/>
    <m/>
    <m/>
  </r>
  <r>
    <d v="2017-12-11T00:00:00"/>
    <x v="1"/>
    <s v="Exos 7E8"/>
    <x v="0"/>
    <x v="0"/>
    <x v="2"/>
    <x v="0"/>
    <n v="4.16"/>
    <m/>
    <n v="0.33333333333333326"/>
    <n v="249"/>
    <n v="5"/>
    <m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m/>
    <m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  <m/>
    <m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  <m/>
    <m/>
    <s v="Helium filled"/>
  </r>
  <r>
    <d v="2017-12-11T00:00:00"/>
    <x v="1"/>
    <s v="Exos X12"/>
    <x v="0"/>
    <x v="0"/>
    <x v="10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  <m/>
    <m/>
    <s v="Helium filled"/>
  </r>
  <r>
    <d v="2017-11-05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87.22"/>
    <n v="87.22"/>
    <n v="87.22"/>
    <n v="87.22"/>
    <n v="17.443999999999999"/>
    <m/>
    <m/>
    <s v="8GiB NAND"/>
  </r>
  <r>
    <d v="2017-12-19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  <m/>
    <m/>
    <s v="8GiB NAND"/>
  </r>
  <r>
    <d v="2017-11-05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68.319999999999993"/>
    <n v="68.319999999999993"/>
    <n v="68.319999999999993"/>
    <n v="68.319999999999993"/>
    <n v="13.663999999999998"/>
    <m/>
    <m/>
    <s v="8GiB NAND"/>
  </r>
  <r>
    <d v="2017-12-19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84.99"/>
    <n v="42.494999999999997"/>
    <n v="84.99"/>
    <n v="42.494999999999997"/>
    <n v="8.4989999999999988"/>
    <m/>
    <m/>
    <s v="8GiB NAND"/>
  </r>
  <r>
    <d v="2017-12-11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  <m/>
    <m/>
    <s v="8GiB NAND"/>
  </r>
  <r>
    <d v="2017-11-14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  <m/>
    <m/>
    <m/>
  </r>
  <r>
    <d v="2017-11-14T00:00:00"/>
    <x v="1"/>
    <s v="IronWolf"/>
    <x v="0"/>
    <x v="0"/>
    <x v="12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  <m/>
    <m/>
    <m/>
  </r>
  <r>
    <d v="2017-12-19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  <m/>
    <m/>
    <m/>
  </r>
  <r>
    <d v="2017-12-11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  <m/>
    <m/>
    <m/>
  </r>
  <r>
    <d v="2017-12-14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  <m/>
    <m/>
    <m/>
  </r>
  <r>
    <d v="2017-11-25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  <m/>
    <m/>
    <m/>
  </r>
  <r>
    <d v="2017-11-25T00:00:00"/>
    <x v="1"/>
    <s v="IronWolf"/>
    <x v="0"/>
    <x v="0"/>
    <x v="10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  <m/>
    <m/>
    <m/>
  </r>
  <r>
    <d v="2017-11-14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  <m/>
    <m/>
    <m/>
  </r>
  <r>
    <d v="2017-11-14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  <m/>
    <m/>
    <m/>
  </r>
  <r>
    <d v="2017-11-14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  <m/>
    <m/>
    <m/>
  </r>
  <r>
    <d v="2017-12-11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  <m/>
    <m/>
    <m/>
  </r>
  <r>
    <d v="2017-11-26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  <m/>
    <m/>
    <m/>
  </r>
  <r>
    <d v="2017-11-14T00:00:00"/>
    <x v="1"/>
    <s v="IronWolf Pro"/>
    <x v="0"/>
    <x v="0"/>
    <x v="10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  <m/>
    <m/>
    <m/>
  </r>
  <r>
    <d v="2017-11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  <m/>
    <m/>
    <m/>
  </r>
  <r>
    <d v="2017-12-11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42.99"/>
    <n v="42.99"/>
    <n v="57.176700000000004"/>
    <n v="57.176700000000004"/>
    <n v="11.43534"/>
    <m/>
    <m/>
    <m/>
  </r>
  <r>
    <d v="2017-12-11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  <m/>
    <m/>
    <m/>
  </r>
  <r>
    <d v="2017-12-11T00:00:00"/>
    <x v="2"/>
    <s v="DT01ACA"/>
    <x v="3"/>
    <x v="0"/>
    <x v="12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77.989999999999995"/>
    <n v="25.996666666666666"/>
    <n v="103.72669999999999"/>
    <n v="34.575566666666667"/>
    <n v="6.9151133333333332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  <m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m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m/>
    <m/>
    <s v="Persistant Write Cache"/>
  </r>
  <r>
    <d v="2017-12-11T00:00:00"/>
    <x v="2"/>
    <s v="Enterprise Capacity"/>
    <x v="0"/>
    <x v="0"/>
    <x v="10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m/>
    <m/>
    <s v="Helium filled"/>
  </r>
  <r>
    <d v="2017-12-11T00:00:00"/>
    <x v="2"/>
    <s v="Enterprise Capacity"/>
    <x v="0"/>
    <x v="0"/>
    <x v="11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m/>
    <m/>
    <s v="Helium filled"/>
  </r>
  <r>
    <d v="2017-12-11T00:00:00"/>
    <x v="2"/>
    <s v="Enterprise Performance"/>
    <x v="0"/>
    <x v="1"/>
    <x v="7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25"/>
    <n v="187.5"/>
    <n v="225"/>
    <n v="187.5"/>
    <n v="37.5"/>
    <m/>
    <m/>
    <s v="Persistant Write Cache"/>
  </r>
  <r>
    <d v="2017-12-11T00:00:00"/>
    <x v="2"/>
    <s v="Enterprise Performance"/>
    <x v="0"/>
    <x v="1"/>
    <x v="8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m/>
    <m/>
    <s v="Persistant Write Cache"/>
  </r>
  <r>
    <d v="2017-12-19T00:00:00"/>
    <x v="2"/>
    <s v="Enterprise Performance"/>
    <x v="0"/>
    <x v="1"/>
    <x v="13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n v="0"/>
    <n v="0"/>
    <n v="0"/>
    <n v="0"/>
    <m/>
    <m/>
    <m/>
  </r>
  <r>
    <d v="2017-12-11T00:00:00"/>
    <x v="2"/>
    <s v="Enterprise Performance"/>
    <x v="0"/>
    <x v="1"/>
    <x v="9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m/>
    <n v="0"/>
    <n v="0"/>
    <n v="0"/>
    <n v="0"/>
    <m/>
    <m/>
    <s v="Persistant Write Cache"/>
  </r>
  <r>
    <d v="2017-11-05T00:00:00"/>
    <x v="2"/>
    <s v="Enterprise Performance"/>
    <x v="0"/>
    <x v="1"/>
    <x v="14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94.39"/>
    <n v="215.98888888888888"/>
    <n v="194.39"/>
    <n v="215.98888888888888"/>
    <n v="43.197777777777773"/>
    <m/>
    <m/>
    <s v="Persistant Write Cache"/>
  </r>
  <r>
    <d v="2017-11-07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  <m/>
    <m/>
    <m/>
  </r>
  <r>
    <d v="2017-12-11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204.99"/>
    <n v="34.164999999999999"/>
    <n v="250.08780000000002"/>
    <n v="41.6813"/>
    <n v="8.3362599999999993"/>
    <m/>
    <m/>
    <m/>
  </r>
  <r>
    <d v="2017-12-16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227.99"/>
    <n v="28.498750000000001"/>
    <n v="278.14780000000002"/>
    <n v="34.768475000000002"/>
    <n v="6.9536950000000006"/>
    <m/>
    <m/>
    <m/>
  </r>
  <r>
    <d v="2017-12-19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9.99"/>
    <n v="49.99"/>
    <n v="66.486699999999999"/>
    <n v="66.486699999999999"/>
    <n v="13.29734"/>
    <m/>
    <m/>
    <m/>
  </r>
  <r>
    <d v="2017-12-19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69.989999999999995"/>
    <n v="34.994999999999997"/>
    <n v="93.086699999999993"/>
    <n v="46.543349999999997"/>
    <n v="9.3086699999999993"/>
    <m/>
    <m/>
    <m/>
  </r>
  <r>
    <d v="2017-12-19T00:00:00"/>
    <x v="2"/>
    <s v="P300"/>
    <x v="3"/>
    <x v="0"/>
    <x v="12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74.17"/>
    <n v="24.723333333333333"/>
    <n v="98.646100000000004"/>
    <n v="32.882033333333332"/>
    <n v="6.5764066666666663"/>
    <m/>
    <m/>
    <m/>
  </r>
  <r>
    <d v="2017-11-16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  <m/>
    <m/>
    <m/>
  </r>
  <r>
    <d v="2018-01-01T00:00:00"/>
    <x v="2"/>
    <s v="X300"/>
    <x v="3"/>
    <x v="0"/>
    <x v="6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4.99"/>
    <n v="22.997999999999998"/>
    <n v="152.9367"/>
    <n v="30.587340000000001"/>
    <n v="6.1174680000000006"/>
    <m/>
    <m/>
    <m/>
  </r>
  <r>
    <d v="2017-12-11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  <m/>
    <m/>
    <m/>
  </r>
  <r>
    <d v="2017-12-11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49.99"/>
    <n v="31.248750000000001"/>
    <n v="332.48670000000004"/>
    <n v="41.560837500000005"/>
    <n v="8.312167500000001"/>
    <m/>
    <m/>
    <m/>
  </r>
  <r>
    <d v="2017-11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  <m/>
    <m/>
    <m/>
  </r>
  <r>
    <d v="2017-12-23T00:00:00"/>
    <x v="3"/>
    <s v="Black"/>
    <x v="3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59.99"/>
    <n v="59.99"/>
    <n v="59.99"/>
    <n v="59.99"/>
    <n v="11.998000000000001"/>
    <n v="25"/>
    <n v="27"/>
    <m/>
  </r>
  <r>
    <d v="2017-12-14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  <n v="29"/>
    <n v="30"/>
    <m/>
  </r>
  <r>
    <d v="2017-11-14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  <n v="29"/>
    <n v="34"/>
    <m/>
  </r>
  <r>
    <d v="2018-01-01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  <n v="29"/>
    <n v="36"/>
    <m/>
  </r>
  <r>
    <d v="2017-12-11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29.99"/>
    <n v="38.331666666666671"/>
    <n v="229.99"/>
    <n v="38.331666666666671"/>
    <n v="7.6663333333333341"/>
    <n v="29"/>
    <n v="36"/>
    <m/>
  </r>
  <r>
    <d v="2017-11-07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9"/>
    <n v="49"/>
    <n v="65.17"/>
    <n v="65.17"/>
    <n v="13.034000000000001"/>
    <n v="21"/>
    <n v="24"/>
    <m/>
  </r>
  <r>
    <d v="2017-12-24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  <n v="23"/>
    <n v="27"/>
    <m/>
  </r>
  <r>
    <d v="2017-10-25T00:00:00"/>
    <x v="3"/>
    <s v="Blue"/>
    <x v="3"/>
    <x v="0"/>
    <x v="12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n v="23"/>
    <n v="27"/>
    <m/>
  </r>
  <r>
    <d v="2017-12-11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109.99"/>
    <n v="27.497499999999999"/>
    <n v="146.2867"/>
    <n v="36.571674999999999"/>
    <n v="7.3143349999999998"/>
    <n v="25"/>
    <n v="28"/>
    <m/>
  </r>
  <r>
    <d v="2017-10-11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  <n v="25"/>
    <n v="28"/>
    <m/>
  </r>
  <r>
    <d v="2017-12-11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47.99"/>
    <n v="47.99"/>
    <n v="63.826700000000002"/>
    <n v="63.826700000000002"/>
    <n v="12.76534"/>
    <m/>
    <m/>
    <m/>
  </r>
  <r>
    <d v="2017-1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41.82"/>
    <n v="70.91"/>
    <n v="188.6206"/>
    <n v="94.310299999999998"/>
    <n v="18.86206"/>
    <m/>
    <m/>
    <m/>
  </r>
  <r>
    <d v="2017-12-14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83.76"/>
    <n v="83.76"/>
    <n v="83.76"/>
    <n v="83.76"/>
    <n v="16.752000000000002"/>
    <n v="25"/>
    <n v="28"/>
    <m/>
  </r>
  <r>
    <d v="2017-12-14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  <n v="25"/>
    <n v="28"/>
    <m/>
  </r>
  <r>
    <d v="2017-12-14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  <n v="29"/>
    <n v="36"/>
    <m/>
  </r>
  <r>
    <d v="2017-11-16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  <n v="29"/>
    <n v="36"/>
    <s v="Media caching"/>
  </r>
  <r>
    <d v="2017-12-14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  <n v="20"/>
    <n v="36"/>
    <s v="Helium filled"/>
  </r>
  <r>
    <d v="2017-12-11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  <n v="20"/>
    <n v="36"/>
    <s v="Helium filled"/>
  </r>
  <r>
    <d v="2017-12-11T00:00:00"/>
    <x v="3"/>
    <s v="Gold Enterprise"/>
    <x v="0"/>
    <x v="0"/>
    <x v="10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  <n v="20"/>
    <n v="36"/>
    <s v="Helium filled"/>
  </r>
  <r>
    <d v="2017-11-14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  <m/>
    <m/>
    <m/>
  </r>
  <r>
    <d v="2017-11-14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  <m/>
    <m/>
    <m/>
  </r>
  <r>
    <d v="2017-12-14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  <n v="21"/>
    <n v="22"/>
    <m/>
  </r>
  <r>
    <d v="2017-12-14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  <n v="23"/>
    <n v="24"/>
    <m/>
  </r>
  <r>
    <d v="2017-12-19T00:00:00"/>
    <x v="3"/>
    <s v="Red NAS"/>
    <x v="0"/>
    <x v="0"/>
    <x v="12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  <n v="23"/>
    <n v="24"/>
    <m/>
  </r>
  <r>
    <d v="2017-12-25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  <n v="25"/>
    <n v="28"/>
    <m/>
  </r>
  <r>
    <d v="2017-09-30T00:00:00"/>
    <x v="3"/>
    <s v="Red NAS"/>
    <x v="0"/>
    <x v="0"/>
    <x v="6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  <m/>
    <m/>
    <m/>
  </r>
  <r>
    <d v="2017-12-25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  <n v="25"/>
    <n v="28"/>
    <m/>
  </r>
  <r>
    <d v="2017-12-16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  <n v="20"/>
    <n v="29"/>
    <s v="Helium filled"/>
  </r>
  <r>
    <d v="2017-12-14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  <n v="20"/>
    <n v="29"/>
    <s v="Helium filled"/>
  </r>
  <r>
    <d v="2017-10-11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  <n v="31"/>
    <n v="34"/>
    <m/>
  </r>
  <r>
    <d v="2017-09-23T00:00:00"/>
    <x v="3"/>
    <s v="RED NAS Pro"/>
    <x v="0"/>
    <x v="0"/>
    <x v="12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09.99"/>
    <n v="69.99666666666667"/>
    <n v="209.99"/>
    <n v="69.99666666666667"/>
    <n v="13.999333333333334"/>
    <m/>
    <m/>
    <m/>
  </r>
  <r>
    <d v="2017-10-11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74.99"/>
    <n v="43.747500000000002"/>
    <n v="174.99"/>
    <n v="43.747500000000002"/>
    <n v="8.7495000000000012"/>
    <n v="29"/>
    <n v="36"/>
    <m/>
  </r>
  <r>
    <d v="2017-12-16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09.99"/>
    <n v="34.998333333333335"/>
    <n v="209.99"/>
    <n v="34.998333333333335"/>
    <n v="6.9996666666666671"/>
    <n v="29"/>
    <n v="36"/>
    <m/>
  </r>
  <r>
    <d v="2017-12-02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289.99"/>
    <n v="36.248750000000001"/>
    <n v="289.99"/>
    <n v="36.248750000000001"/>
    <n v="7.2497500000000006"/>
    <n v="20"/>
    <n v="36"/>
    <s v="Helium filled"/>
  </r>
  <r>
    <d v="2017-10-11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40.77"/>
    <n v="44.076999999999998"/>
    <n v="440.77"/>
    <n v="44.076999999999998"/>
    <n v="8.8154000000000003"/>
    <n v="20"/>
    <n v="29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8">
  <r>
    <d v="2017-10-28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09.995"/>
    <n v="27.498750000000001"/>
    <n v="134.19390000000001"/>
    <n v="33.548475000000003"/>
    <n v="6.7096950000000009"/>
  </r>
  <r>
    <d v="2018-01-01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64.99"/>
    <n v="27.498333333333335"/>
    <n v="201.2878"/>
    <n v="33.547966666666667"/>
    <n v="6.7095933333333333"/>
  </r>
  <r>
    <d v="2017-12-25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44.99"/>
    <n v="30.623750000000001"/>
    <n v="298.88780000000003"/>
    <n v="37.360975000000003"/>
    <n v="7.472195000000001"/>
  </r>
  <r>
    <d v="2017-12-11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319"/>
    <n v="31.9"/>
    <n v="389.18"/>
    <n v="38.917999999999999"/>
    <n v="7.7835999999999999"/>
  </r>
  <r>
    <d v="2017-09-27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9.99"/>
    <n v="49.99"/>
    <n v="60.9878"/>
    <n v="60.9878"/>
    <n v="12.197559999999999"/>
  </r>
  <r>
    <d v="2017-12-11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54.99"/>
    <n v="54.99"/>
    <n v="67.087800000000001"/>
    <n v="67.087800000000001"/>
    <n v="13.41756"/>
  </r>
  <r>
    <d v="2017-12-25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n v="53.9"/>
    <n v="53.9"/>
    <n v="53.9"/>
    <n v="53.9"/>
    <n v="10.78"/>
  </r>
  <r>
    <d v="2017-12-25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n v="121.38"/>
    <n v="60.69"/>
    <n v="121.38"/>
    <n v="60.69"/>
    <n v="12.138"/>
  </r>
  <r>
    <d v="2017-11-14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46.38"/>
    <n v="73.19"/>
    <n v="146.38"/>
    <n v="73.19"/>
    <n v="14.638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6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7-11-14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57.62"/>
    <n v="42.936666666666667"/>
    <n v="257.62"/>
    <n v="42.936666666666667"/>
    <n v="8.5873333333333335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7-11-08T00:00:00"/>
    <s v="HGST"/>
    <s v="Ultrastar C10K1200"/>
    <x v="0"/>
    <x v="1"/>
    <x v="7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7-11-08T00:00:00"/>
    <s v="HGST"/>
    <s v="Ultrastar C10K1800"/>
    <x v="0"/>
    <x v="1"/>
    <x v="8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229.99"/>
    <n v="127.77222222222223"/>
    <n v="229.99"/>
    <n v="127.77222222222223"/>
    <n v="25.554444444444446"/>
  </r>
  <r>
    <d v="2017-11-11T00:00:00"/>
    <s v="HGST"/>
    <s v="Ultrastar C15K600"/>
    <x v="0"/>
    <x v="1"/>
    <x v="9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7-10-11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</r>
  <r>
    <d v="2017-12-25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199.99"/>
    <n v="24.998750000000001"/>
    <n v="199.99"/>
    <n v="24.998750000000001"/>
    <n v="4.9997500000000006"/>
  </r>
  <r>
    <d v="2017-11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</r>
  <r>
    <d v="2017-11-27T00:00:00"/>
    <s v="HGST"/>
    <s v="Ultrastar He12"/>
    <x v="0"/>
    <x v="0"/>
    <x v="10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</r>
  <r>
    <d v="2017-10-13T00:00:00"/>
    <s v="HGST"/>
    <s v="Ultrastar Hs14"/>
    <x v="2"/>
    <x v="0"/>
    <x v="11"/>
    <n v="7200"/>
    <n v="4.16"/>
    <n v="12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m/>
    <n v="0"/>
    <n v="0"/>
    <n v="0"/>
    <n v="0"/>
  </r>
  <r>
    <d v="2017-11-25T00:00:00"/>
    <s v="Seagate"/>
    <s v="Archive"/>
    <x v="2"/>
    <x v="0"/>
    <x v="6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7-11-30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2.49"/>
    <n v="42.49"/>
    <n v="56.511700000000005"/>
    <n v="56.511700000000005"/>
    <n v="11.302340000000001"/>
  </r>
  <r>
    <d v="2017-11-26T00:00:00"/>
    <s v="Seagate"/>
    <s v="BarraCuda"/>
    <x v="3"/>
    <x v="0"/>
    <x v="5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3.2433312000000005"/>
    <n v="66.989999999999995"/>
    <n v="33.494999999999997"/>
    <n v="89.096699999999998"/>
    <n v="44.548349999999999"/>
    <n v="8.9096700000000002"/>
  </r>
  <r>
    <d v="2017-12-11T00:00:00"/>
    <s v="Seagate"/>
    <s v="BarraCuda"/>
    <x v="3"/>
    <x v="0"/>
    <x v="12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2.1622208000000005"/>
    <n v="89.99"/>
    <n v="29.996666666666666"/>
    <n v="119.6867"/>
    <n v="39.895566666666667"/>
    <n v="7.9791133333333333"/>
  </r>
  <r>
    <d v="2017-11-11T00:00:00"/>
    <s v="Seagate"/>
    <s v="BarraCuda"/>
    <x v="3"/>
    <x v="0"/>
    <x v="0"/>
    <n v="7200"/>
    <n v="6"/>
    <n v="9.5"/>
    <n v="0.33333333333333326"/>
    <n v="190"/>
    <n v="2"/>
    <n v="300000"/>
    <n v="55"/>
    <m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</r>
  <r>
    <d v="2017-10-11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</r>
  <r>
    <d v="2017-11-27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</r>
  <r>
    <d v="2017-10-11T00:00:00"/>
    <s v="Seagate"/>
    <s v="BarraCuda"/>
    <x v="1"/>
    <x v="1"/>
    <x v="12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</r>
  <r>
    <d v="2017-10-11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</r>
  <r>
    <d v="2017-1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</r>
  <r>
    <d v="2017-12-19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19.99"/>
    <n v="59.994999999999997"/>
    <n v="119.99"/>
    <n v="59.994999999999997"/>
    <n v="11.998999999999999"/>
  </r>
  <r>
    <d v="2017-12-19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74.98"/>
    <n v="43.744999999999997"/>
    <n v="174.98"/>
    <n v="43.744999999999997"/>
    <n v="8.7489999999999988"/>
  </r>
  <r>
    <d v="2017-12-19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234.99"/>
    <n v="39.164999999999999"/>
    <n v="234.99"/>
    <n v="39.164999999999999"/>
    <n v="7.8330000000000002"/>
  </r>
  <r>
    <d v="2017-12-19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99.99"/>
    <n v="37.498750000000001"/>
    <n v="299.99"/>
    <n v="37.498750000000001"/>
    <n v="7.4997500000000006"/>
  </r>
  <r>
    <d v="2017-12-19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79.99"/>
    <n v="37.999000000000002"/>
    <n v="379.99"/>
    <n v="37.999000000000002"/>
    <n v="7.5998000000000001"/>
  </r>
  <r>
    <d v="2017-11-27T00:00:00"/>
    <s v="Seagate"/>
    <s v="BarraCuda Pro"/>
    <x v="3"/>
    <x v="0"/>
    <x v="10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99.99"/>
    <n v="41.665833333333332"/>
    <n v="499.99"/>
    <n v="41.665833333333332"/>
    <n v="8.3331666666666671"/>
  </r>
  <r>
    <d v="2017-10-19T00:00:00"/>
    <s v="Seagate"/>
    <s v="Exos 10E2400"/>
    <x v="0"/>
    <x v="1"/>
    <x v="8"/>
    <n v="10500"/>
    <n v="2.9"/>
    <m/>
    <n v="0.94444444444444442"/>
    <n v="270"/>
    <n v="5"/>
    <m/>
    <n v="550"/>
    <n v="2000000"/>
    <n v="1E+16"/>
    <m/>
    <n v="6.95"/>
    <n v="4.26"/>
    <m/>
    <n v="5.2572645600000003"/>
    <n v="2.9207025333333334"/>
    <m/>
    <n v="0"/>
    <n v="0"/>
    <n v="0"/>
    <n v="0"/>
  </r>
  <r>
    <d v="2017-10-19T00:00:00"/>
    <s v="Seagate"/>
    <s v="Exos 10E2400"/>
    <x v="0"/>
    <x v="1"/>
    <x v="13"/>
    <n v="10500"/>
    <n v="2.9"/>
    <m/>
    <n v="0.94444444444444442"/>
    <n v="270"/>
    <n v="5"/>
    <m/>
    <n v="550"/>
    <n v="2000000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</r>
  <r>
    <d v="2017-10-19T00:00:00"/>
    <s v="Seagate"/>
    <s v="Exos 15E900"/>
    <x v="0"/>
    <x v="0"/>
    <x v="14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m/>
    <n v="0"/>
    <n v="0"/>
    <n v="0"/>
    <n v="0"/>
  </r>
  <r>
    <d v="2017-10-19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</r>
  <r>
    <d v="2017-10-19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m/>
    <n v="0"/>
    <n v="0"/>
    <n v="0"/>
    <n v="0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7-10-29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84.41"/>
    <n v="184.41"/>
    <n v="184.41"/>
    <n v="184.41"/>
    <n v="36.881999999999998"/>
  </r>
  <r>
    <d v="2017-10-19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329.99"/>
    <n v="164.995"/>
    <n v="329.99"/>
    <n v="164.995"/>
    <n v="32.999000000000002"/>
  </r>
  <r>
    <d v="2017-10-19T00:00:00"/>
    <s v="Seagate"/>
    <s v="Exos 7E8"/>
    <x v="0"/>
    <x v="0"/>
    <x v="4"/>
    <n v="7200"/>
    <n v="4.16"/>
    <m/>
    <n v="0.33333333333333326"/>
    <n v="215"/>
    <n v="5"/>
    <m/>
    <n v="550"/>
    <n v="2000000"/>
    <n v="1000000000000000"/>
    <m/>
    <n v="5.91"/>
    <n v="4.25"/>
    <m/>
    <n v="5.0205890399999999"/>
    <n v="5.0205890399999999"/>
    <n v="99.99"/>
    <n v="99.99"/>
    <n v="99.99"/>
    <n v="99.99"/>
    <n v="19.997999999999998"/>
  </r>
  <r>
    <d v="2017-12-11T00:00:00"/>
    <s v="Seagate"/>
    <s v="Exos 7E8"/>
    <x v="0"/>
    <x v="0"/>
    <x v="5"/>
    <n v="7200"/>
    <n v="4.16"/>
    <m/>
    <n v="0.33333333333333326"/>
    <n v="226"/>
    <n v="5"/>
    <m/>
    <n v="550"/>
    <n v="2000000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</r>
  <r>
    <d v="2017-12-11T00:00:00"/>
    <s v="Seagate"/>
    <s v="Exos 7E8"/>
    <x v="0"/>
    <x v="0"/>
    <x v="0"/>
    <n v="7200"/>
    <n v="4.16"/>
    <m/>
    <n v="0.33333333333333326"/>
    <n v="226"/>
    <n v="5"/>
    <m/>
    <n v="550"/>
    <n v="2000000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</r>
  <r>
    <d v="2017-12-11T00:00:00"/>
    <s v="Seagate"/>
    <s v="Exos 7E8"/>
    <x v="0"/>
    <x v="0"/>
    <x v="1"/>
    <n v="7200"/>
    <n v="4.16"/>
    <m/>
    <n v="0.33333333333333326"/>
    <n v="226"/>
    <n v="5"/>
    <m/>
    <n v="550"/>
    <n v="2000000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</r>
  <r>
    <d v="2017-12-11T00:00:00"/>
    <s v="Seagate"/>
    <s v="Exos 7E8"/>
    <x v="0"/>
    <x v="0"/>
    <x v="2"/>
    <n v="7200"/>
    <n v="4.16"/>
    <m/>
    <n v="0.33333333333333326"/>
    <n v="249"/>
    <n v="5"/>
    <m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</r>
  <r>
    <d v="2017-12-11T00:00:00"/>
    <s v="Seagate"/>
    <s v="Exos X12"/>
    <x v="0"/>
    <x v="0"/>
    <x v="10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</r>
  <r>
    <d v="2017-11-05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87.22"/>
    <n v="87.22"/>
    <n v="87.22"/>
    <n v="87.22"/>
    <n v="17.443999999999999"/>
  </r>
  <r>
    <d v="2017-12-19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</r>
  <r>
    <d v="2017-11-05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68.319999999999993"/>
    <n v="68.319999999999993"/>
    <n v="68.319999999999993"/>
    <n v="68.319999999999993"/>
    <n v="13.663999999999998"/>
  </r>
  <r>
    <d v="2017-12-19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84.99"/>
    <n v="42.494999999999997"/>
    <n v="84.99"/>
    <n v="42.494999999999997"/>
    <n v="8.4989999999999988"/>
  </r>
  <r>
    <d v="2017-12-11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</r>
  <r>
    <d v="2017-11-14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</r>
  <r>
    <d v="2017-11-14T00:00:00"/>
    <s v="Seagate"/>
    <s v="IronWolf"/>
    <x v="0"/>
    <x v="0"/>
    <x v="12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</r>
  <r>
    <d v="2017-12-19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</r>
  <r>
    <d v="2017-12-11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</r>
  <r>
    <d v="2017-12-14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</r>
  <r>
    <d v="2017-11-25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</r>
  <r>
    <d v="2017-11-25T00:00:00"/>
    <s v="Seagate"/>
    <s v="IronWolf"/>
    <x v="0"/>
    <x v="0"/>
    <x v="10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</r>
  <r>
    <d v="2017-11-14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</r>
  <r>
    <d v="2017-11-14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</r>
  <r>
    <d v="2017-11-14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</r>
  <r>
    <d v="2017-12-11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</r>
  <r>
    <d v="2017-11-26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</r>
  <r>
    <d v="2017-11-14T00:00:00"/>
    <s v="Seagate"/>
    <s v="IronWolf Pro"/>
    <x v="0"/>
    <x v="0"/>
    <x v="10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</r>
  <r>
    <d v="2017-11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</r>
  <r>
    <d v="2017-12-11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42.99"/>
    <n v="42.99"/>
    <n v="57.176700000000004"/>
    <n v="57.176700000000004"/>
    <n v="11.43534"/>
  </r>
  <r>
    <d v="2017-12-11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</r>
  <r>
    <d v="2017-12-11T00:00:00"/>
    <s v="Toshiba"/>
    <s v="DT01ACA"/>
    <x v="3"/>
    <x v="0"/>
    <x v="12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77.989999999999995"/>
    <n v="25.996666666666666"/>
    <n v="103.72669999999999"/>
    <n v="34.575566666666667"/>
    <n v="6.9151133333333332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2-11T00:00:00"/>
    <s v="Toshiba"/>
    <s v="Enterprise Capacity"/>
    <x v="0"/>
    <x v="0"/>
    <x v="10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Capacity"/>
    <x v="0"/>
    <x v="0"/>
    <x v="11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Performance"/>
    <x v="0"/>
    <x v="1"/>
    <x v="7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25"/>
    <n v="187.5"/>
    <n v="225"/>
    <n v="187.5"/>
    <n v="37.5"/>
  </r>
  <r>
    <d v="2017-12-11T00:00:00"/>
    <s v="Toshiba"/>
    <s v="Enterprise Performance"/>
    <x v="0"/>
    <x v="1"/>
    <x v="8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3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n v="0"/>
    <n v="0"/>
    <n v="0"/>
    <n v="0"/>
  </r>
  <r>
    <d v="2017-12-11T00:00:00"/>
    <s v="Toshiba"/>
    <s v="Enterprise Performance"/>
    <x v="0"/>
    <x v="1"/>
    <x v="9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m/>
    <n v="0"/>
    <n v="0"/>
    <n v="0"/>
    <n v="0"/>
  </r>
  <r>
    <d v="2017-11-05T00:00:00"/>
    <s v="Toshiba"/>
    <s v="Enterprise Performance"/>
    <x v="0"/>
    <x v="1"/>
    <x v="14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94.39"/>
    <n v="215.98888888888888"/>
    <n v="194.39"/>
    <n v="215.98888888888888"/>
    <n v="43.197777777777773"/>
  </r>
  <r>
    <d v="2017-11-07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</r>
  <r>
    <d v="2017-12-11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204.99"/>
    <n v="34.164999999999999"/>
    <n v="250.08780000000002"/>
    <n v="41.6813"/>
    <n v="8.3362599999999993"/>
  </r>
  <r>
    <d v="2017-12-16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227.99"/>
    <n v="28.498750000000001"/>
    <n v="278.14780000000002"/>
    <n v="34.768475000000002"/>
    <n v="6.9536950000000006"/>
  </r>
  <r>
    <d v="2017-12-19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9.99"/>
    <n v="49.99"/>
    <n v="66.486699999999999"/>
    <n v="66.486699999999999"/>
    <n v="13.29734"/>
  </r>
  <r>
    <d v="2017-12-19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69.989999999999995"/>
    <n v="34.994999999999997"/>
    <n v="93.086699999999993"/>
    <n v="46.543349999999997"/>
    <n v="9.3086699999999993"/>
  </r>
  <r>
    <d v="2017-12-19T00:00:00"/>
    <s v="Toshiba"/>
    <s v="P300"/>
    <x v="3"/>
    <x v="0"/>
    <x v="12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74.17"/>
    <n v="24.723333333333333"/>
    <n v="98.646100000000004"/>
    <n v="32.882033333333332"/>
    <n v="6.5764066666666663"/>
  </r>
  <r>
    <d v="2017-11-16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</r>
  <r>
    <d v="2018-01-01T00:00:00"/>
    <s v="Toshiba"/>
    <s v="X300"/>
    <x v="3"/>
    <x v="0"/>
    <x v="6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14.99"/>
    <n v="22.997999999999998"/>
    <n v="152.9367"/>
    <n v="30.587340000000001"/>
    <n v="6.1174680000000006"/>
  </r>
  <r>
    <d v="2017-12-11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</r>
  <r>
    <d v="2017-12-11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49.99"/>
    <n v="31.248750000000001"/>
    <n v="332.48670000000004"/>
    <n v="41.560837500000005"/>
    <n v="8.312167500000001"/>
  </r>
  <r>
    <d v="2017-11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</r>
  <r>
    <d v="2017-12-23T00:00:00"/>
    <s v="WD"/>
    <s v="Black"/>
    <x v="3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59.99"/>
    <n v="59.99"/>
    <n v="59.99"/>
    <n v="59.99"/>
    <n v="11.998000000000001"/>
  </r>
  <r>
    <d v="2017-12-14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</r>
  <r>
    <d v="2017-11-14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</r>
  <r>
    <d v="2018-01-01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</r>
  <r>
    <d v="2017-12-11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229.99"/>
    <n v="38.331666666666671"/>
    <n v="229.99"/>
    <n v="38.331666666666671"/>
    <n v="7.6663333333333341"/>
  </r>
  <r>
    <d v="2017-11-07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9"/>
    <n v="49"/>
    <n v="65.17"/>
    <n v="65.17"/>
    <n v="13.034000000000001"/>
  </r>
  <r>
    <d v="2017-12-24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</r>
  <r>
    <d v="2017-10-25T00:00:00"/>
    <s v="WD"/>
    <s v="Blue"/>
    <x v="3"/>
    <x v="0"/>
    <x v="12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7-12-11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109.99"/>
    <n v="27.497499999999999"/>
    <n v="146.2867"/>
    <n v="36.571674999999999"/>
    <n v="7.3143349999999998"/>
  </r>
  <r>
    <d v="2017-10-11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</r>
  <r>
    <d v="2017-12-11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47.99"/>
    <n v="47.99"/>
    <n v="63.826700000000002"/>
    <n v="63.826700000000002"/>
    <n v="12.76534"/>
  </r>
  <r>
    <d v="2017-1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41.82"/>
    <n v="70.91"/>
    <n v="188.6206"/>
    <n v="94.310299999999998"/>
    <n v="18.86206"/>
  </r>
  <r>
    <d v="2017-12-14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83.76"/>
    <n v="83.76"/>
    <n v="83.76"/>
    <n v="83.76"/>
    <n v="16.752000000000002"/>
  </r>
  <r>
    <d v="2017-12-14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</r>
  <r>
    <d v="2017-12-14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</r>
  <r>
    <d v="2017-11-16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</r>
  <r>
    <d v="2017-12-14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</r>
  <r>
    <d v="2017-12-11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</r>
  <r>
    <d v="2017-12-11T00:00:00"/>
    <s v="WD"/>
    <s v="Gold Enterprise"/>
    <x v="0"/>
    <x v="0"/>
    <x v="10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</r>
  <r>
    <d v="2017-11-14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</r>
  <r>
    <d v="2017-11-14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</r>
  <r>
    <d v="2017-12-14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</r>
  <r>
    <d v="2017-12-14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</r>
  <r>
    <d v="2017-12-19T00:00:00"/>
    <s v="WD"/>
    <s v="Red NAS"/>
    <x v="0"/>
    <x v="0"/>
    <x v="12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</r>
  <r>
    <d v="2017-12-25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</r>
  <r>
    <d v="2017-09-30T00:00:00"/>
    <s v="WD"/>
    <s v="Red NAS"/>
    <x v="0"/>
    <x v="0"/>
    <x v="6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</r>
  <r>
    <d v="2017-12-25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</r>
  <r>
    <d v="2017-12-16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</r>
  <r>
    <d v="2017-12-14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</r>
  <r>
    <d v="2017-10-11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0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38">
      <pivotArea outline="0" collapsedLevelsAreSubtotals="1" fieldPosition="0"/>
    </format>
    <format dxfId="37">
      <pivotArea collapsedLevelsAreSubtotals="1" fieldPosition="0">
        <references count="1">
          <reference field="5" count="1">
            <x v="8"/>
          </reference>
        </references>
      </pivotArea>
    </format>
    <format dxfId="36">
      <pivotArea outline="0" collapsedLevelsAreSubtotals="1" fieldPosition="0"/>
    </format>
    <format dxfId="35">
      <pivotArea outline="0" collapsedLevelsAreSubtotals="1" fieldPosition="0"/>
    </format>
    <format dxfId="34">
      <pivotArea dataOnly="0" labelOnly="1" fieldPosition="0">
        <references count="1">
          <reference field="5" count="0"/>
        </references>
      </pivotArea>
    </format>
    <format dxfId="33">
      <pivotArea dataOnly="0" labelOnly="1" fieldPosition="0">
        <references count="1">
          <reference field="5" count="0"/>
        </references>
      </pivotArea>
    </format>
    <format dxfId="32">
      <pivotArea type="all" dataOnly="0" outline="0" fieldPosition="0"/>
    </format>
    <format dxfId="31">
      <pivotArea outline="0" collapsedLevelsAreSubtotals="1" fieldPosition="0"/>
    </format>
    <format dxfId="30">
      <pivotArea field="5" type="button" dataOnly="0" labelOnly="1" outline="0" axis="axisRow" fieldPosition="0"/>
    </format>
    <format dxfId="29">
      <pivotArea dataOnly="0" labelOnly="1" outline="0" axis="axisValues" fieldPosition="0"/>
    </format>
    <format dxfId="28">
      <pivotArea dataOnly="0" labelOnly="1" fieldPosition="0">
        <references count="1">
          <reference field="5" count="0"/>
        </references>
      </pivotArea>
    </format>
    <format dxfId="27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44">
      <pivotArea outline="0" collapsedLevelsAreSubtotals="1" fieldPosition="0"/>
    </format>
    <format dxfId="43">
      <pivotArea dataOnly="0" labelOnly="1" fieldPosition="0">
        <references count="1">
          <reference field="5" count="0"/>
        </references>
      </pivotArea>
    </format>
    <format dxfId="42">
      <pivotArea type="all" dataOnly="0" outline="0" fieldPosition="0"/>
    </format>
    <format dxfId="41">
      <pivotArea field="5" type="button" dataOnly="0" labelOnly="1" outline="0" axis="axisRow" fieldPosition="0"/>
    </format>
    <format dxfId="40">
      <pivotArea dataOnly="0" labelOnly="1" outline="0" axis="axisValues" fieldPosition="0"/>
    </format>
    <format dxfId="39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0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0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52">
      <pivotArea dataOnly="0" labelOnly="1" fieldPosition="0">
        <references count="1">
          <reference field="5" count="0"/>
        </references>
      </pivotArea>
    </format>
    <format dxfId="51">
      <pivotArea outline="0" collapsedLevelsAreSubtotals="1" fieldPosition="0"/>
    </format>
    <format dxfId="50">
      <pivotArea type="all" dataOnly="0" outline="0" fieldPosition="0"/>
    </format>
    <format dxfId="49">
      <pivotArea outline="0" collapsedLevelsAreSubtotals="1" fieldPosition="0"/>
    </format>
    <format dxfId="48">
      <pivotArea field="5" type="button" dataOnly="0" labelOnly="1" outline="0" axis="axisRow" fieldPosition="0"/>
    </format>
    <format dxfId="47">
      <pivotArea dataOnly="0" labelOnly="1" outline="0" axis="axisValues" fieldPosition="0"/>
    </format>
    <format dxfId="46">
      <pivotArea dataOnly="0" labelOnly="1" fieldPosition="0">
        <references count="1">
          <reference field="5" count="0"/>
        </references>
      </pivotArea>
    </format>
    <format dxfId="45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0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53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D135" totalsRowShown="0" headerRowDxfId="83" headerRowBorderDxfId="82" tableBorderDxfId="81">
  <autoFilter ref="A2:AD135"/>
  <sortState ref="A3:X98">
    <sortCondition ref="B3:B98"/>
    <sortCondition ref="C3:C98"/>
    <sortCondition ref="F3:F98"/>
    <sortCondition ref="G3:G98"/>
  </sortState>
  <tableColumns count="30">
    <tableColumn id="1" name="Date" dataDxfId="80"/>
    <tableColumn id="2" name="Manu"/>
    <tableColumn id="3" name="Model" dataDxfId="79"/>
    <tableColumn id="21" name="Type" dataDxfId="78"/>
    <tableColumn id="29" name="FormFactor" dataDxfId="77"/>
    <tableColumn id="5" name="SizTB" dataDxfId="76"/>
    <tableColumn id="4" name="RPM" dataDxfId="75"/>
    <tableColumn id="27" name="AvgLatency" dataDxfId="74"/>
    <tableColumn id="28" name="SeekT" dataDxfId="73"/>
    <tableColumn id="6" name="PerfCmp" dataDxfId="72">
      <calculatedColumnFormula>(Table5[[#This Row],[RPM]]/5400-1)</calculatedColumnFormula>
    </tableColumn>
    <tableColumn id="26" name="XferRate" dataDxfId="71"/>
    <tableColumn id="7" name="S"/>
    <tableColumn id="22" name="CycleCnt" dataDxfId="70"/>
    <tableColumn id="23" name="WorkLoad"/>
    <tableColumn id="24" name="MTBF" dataDxfId="69"/>
    <tableColumn id="25" name="RErrRate" dataDxfId="68"/>
    <tableColumn id="18" name="MaxStartupWatts" dataDxfId="67"/>
    <tableColumn id="8" name="Watts Active" dataDxfId="66"/>
    <tableColumn id="9" name="Watts Idle" dataDxfId="65"/>
    <tableColumn id="10" name="WattsStandby" dataDxfId="64"/>
    <tableColumn id="31" name="Energy$year" dataDxfId="63"/>
    <tableColumn id="30" name="Energy$yearPerTB" dataDxfId="62"/>
    <tableColumn id="11" name="Cost" dataDxfId="61"/>
    <tableColumn id="12" name="$ TB" dataDxfId="60">
      <calculatedColumnFormula>Table5[[#This Row],[Cost]]/Table5[[#This Row],[SizTB]]*Exchange_Rate</calculatedColumnFormula>
    </tableColumn>
    <tableColumn id="13" name="$+Warr" dataDxfId="59">
      <calculatedColumnFormula>Table5[[#This Row],[Cost]]+((CompareWarrYrs-Table5[[#This Row],[S]])*(Incremental_Warr_Yr*Table5[[#This Row],[Cost]]))</calculatedColumnFormula>
    </tableColumn>
    <tableColumn id="14" name="$PerTB" dataDxfId="58">
      <calculatedColumnFormula>Table5[[#This Row],[$+Warr]]/Table5[[#This Row],[SizTB]]</calculatedColumnFormula>
    </tableColumn>
    <tableColumn id="15" name="$ TB/year" dataDxfId="57">
      <calculatedColumnFormula>Table5[[#This Row],[$PerTB]]/CompareWarrYrs</calculatedColumnFormula>
    </tableColumn>
    <tableColumn id="17" name="DBA_Idle" dataDxfId="56"/>
    <tableColumn id="16" name="DBA_Seek" dataDxfId="55"/>
    <tableColumn id="19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eagate.com/internal-hard-drives/hdd/firecuda/" TargetMode="External"/><Relationship Id="rId117" Type="http://schemas.openxmlformats.org/officeDocument/2006/relationships/hyperlink" Target="https://www.newegg.com/Product/Product.aspx?Item=9SIA9945X11461&amp;cm_re=ultrastar_he12-_-9SIA9945X11461-_-Product" TargetMode="External"/><Relationship Id="rId21" Type="http://schemas.openxmlformats.org/officeDocument/2006/relationships/hyperlink" Target="https://www.wdc.com/content/dam/wdc/website/downloadable_assets/eng/spec_data_sheet/2879-771437.pdf" TargetMode="External"/><Relationship Id="rId42" Type="http://schemas.openxmlformats.org/officeDocument/2006/relationships/hyperlink" Target="http://products.wdc.com/library/SpecSheet/ENG/2879-771434.pdf" TargetMode="External"/><Relationship Id="rId47" Type="http://schemas.openxmlformats.org/officeDocument/2006/relationships/hyperlink" Target="https://toshiba.semicon-storage.com/us/product/storage-products/enterprise-hdd/al14sxbxxex.html" TargetMode="External"/><Relationship Id="rId63" Type="http://schemas.openxmlformats.org/officeDocument/2006/relationships/hyperlink" Target="http://www.tomsitpro.com/articles/wd-hgst-8tb-hdd-gold,1-3248.html" TargetMode="External"/><Relationship Id="rId68" Type="http://schemas.openxmlformats.org/officeDocument/2006/relationships/hyperlink" Target="https://www.newegg.com/Product/Product.aspx?Item=N82E16822235281&amp;ignorebbr=1" TargetMode="External"/><Relationship Id="rId84" Type="http://schemas.openxmlformats.org/officeDocument/2006/relationships/hyperlink" Target="http://www.newegg.com/Product/Product.aspx?Item=N82E16822179003&amp;utm_medium=Email&amp;utm_source=IGNEFL121417&amp;cm_mmc=EMC-IGNEFL121417-_-EMC-121417-Index-_-DesktopInternalHardDrives-_-22179003-S1A2B&amp;ignorebbr=1" TargetMode="External"/><Relationship Id="rId89" Type="http://schemas.openxmlformats.org/officeDocument/2006/relationships/hyperlink" Target="https://www.newegg.com/Product/Product.aspx?item=N82E16822146076" TargetMode="External"/><Relationship Id="rId112" Type="http://schemas.openxmlformats.org/officeDocument/2006/relationships/hyperlink" Target="https://www.neweggbusiness.com/product/product.aspx?item=9B-22-236-737" TargetMode="External"/><Relationship Id="rId133" Type="http://schemas.openxmlformats.org/officeDocument/2006/relationships/hyperlink" Target="https://www.neweggbusiness.com/product/product.aspx?item=9B-22-236-343" TargetMode="External"/><Relationship Id="rId138" Type="http://schemas.openxmlformats.org/officeDocument/2006/relationships/hyperlink" Target="https://www.newegg.com/Product/Product.aspx?item=N82E16822179057" TargetMode="External"/><Relationship Id="rId154" Type="http://schemas.openxmlformats.org/officeDocument/2006/relationships/hyperlink" Target="https://www.newegg.com/Product/Product.aspx?Item=1Z4-002P-000N0&amp;ignorebbr=1" TargetMode="External"/><Relationship Id="rId159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70" Type="http://schemas.openxmlformats.org/officeDocument/2006/relationships/vmlDrawing" Target="../drawings/vmlDrawing1.vml"/><Relationship Id="rId16" Type="http://schemas.openxmlformats.org/officeDocument/2006/relationships/hyperlink" Target="https://www.seagate.com/enterprise-storage/exos-drives/exos-e-drives/" TargetMode="External"/><Relationship Id="rId107" Type="http://schemas.openxmlformats.org/officeDocument/2006/relationships/hyperlink" Target="https://www.seagate.com/www-content/product-content/hdd-fam/seagate-archive-hdd/en-us/docs/archive-hdd-dS1834-3-1411us.pdf" TargetMode="External"/><Relationship Id="rId11" Type="http://schemas.openxmlformats.org/officeDocument/2006/relationships/hyperlink" Target="https://www.seagate.com/files/www-content/datasheets/pdfs/exos-7-e8-data-sheet-DS1957-1-1709US-en_US.pdf" TargetMode="External"/><Relationship Id="rId32" Type="http://schemas.openxmlformats.org/officeDocument/2006/relationships/hyperlink" Target="http://www.hgst.com/sites/default/files/resources/HGST-Helium-Technology-BR03.pdf" TargetMode="External"/><Relationship Id="rId37" Type="http://schemas.openxmlformats.org/officeDocument/2006/relationships/hyperlink" Target="https://www.hgst.com/sites/default/files/resources/T5K100_sp.pdf" TargetMode="External"/><Relationship Id="rId53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8" Type="http://schemas.openxmlformats.org/officeDocument/2006/relationships/hyperlink" Target="https://www.newegg.com/Product/Product.aspx?Item=9SIA99462P4004" TargetMode="External"/><Relationship Id="rId74" Type="http://schemas.openxmlformats.org/officeDocument/2006/relationships/hyperlink" Target="https://www.newegg.com/Product/Product.aspx?item=N82E16822236600" TargetMode="External"/><Relationship Id="rId79" Type="http://schemas.openxmlformats.org/officeDocument/2006/relationships/hyperlink" Target="https://www.newegg.com/Product/Product.aspx?item=N82E16822179100" TargetMode="External"/><Relationship Id="rId102" Type="http://schemas.openxmlformats.org/officeDocument/2006/relationships/hyperlink" Target="https://www.newegg.com/Product/Product.aspx?item=N82E16822178750" TargetMode="External"/><Relationship Id="rId123" Type="http://schemas.openxmlformats.org/officeDocument/2006/relationships/hyperlink" Target="https://www.newegg.com/Product/Product.aspx?Item=22-179-270&amp;Tpk=22-179-270" TargetMode="External"/><Relationship Id="rId128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44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149" Type="http://schemas.openxmlformats.org/officeDocument/2006/relationships/hyperlink" Target="https://toshiba.semicon-storage.com/us/product/storage-products/enterprise-hdd/mg07acaxxx.html" TargetMode="External"/><Relationship Id="rId5" Type="http://schemas.openxmlformats.org/officeDocument/2006/relationships/hyperlink" Target="https://www.hgst.com/products/hard-drives/ultrastar-c10k1800" TargetMode="External"/><Relationship Id="rId90" Type="http://schemas.openxmlformats.org/officeDocument/2006/relationships/hyperlink" Target="https://www.newegg.com/Product/Product.aspx?item=N82E16822146071" TargetMode="External"/><Relationship Id="rId95" Type="http://schemas.openxmlformats.org/officeDocument/2006/relationships/hyperlink" Target="https://www.newegg.com/Product/Product.aspx?item=N82E16822232558" TargetMode="External"/><Relationship Id="rId160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65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22" Type="http://schemas.openxmlformats.org/officeDocument/2006/relationships/hyperlink" Target="http://products.wdc.com/library/SpecSheet/ENG/2879-800045.pdf" TargetMode="External"/><Relationship Id="rId27" Type="http://schemas.openxmlformats.org/officeDocument/2006/relationships/hyperlink" Target="https://www.seagate.com/internal-hard-drives/hdd/firecuda/" TargetMode="External"/><Relationship Id="rId43" Type="http://schemas.openxmlformats.org/officeDocument/2006/relationships/hyperlink" Target="https://www.wdc.com/content/dam/wdc/website/downloadable_assets/eng/spec_data_sheet/2879-800002.pdf" TargetMode="External"/><Relationship Id="rId48" Type="http://schemas.openxmlformats.org/officeDocument/2006/relationships/hyperlink" Target="https://www.seagate.com/internal-hard-drives/hdd/ironwolf/?sku=ST10000NE0004" TargetMode="External"/><Relationship Id="rId64" Type="http://schemas.openxmlformats.org/officeDocument/2006/relationships/hyperlink" Target="http://www.tomsitpro.com/articles/wd-hgst-8tb-hdd-gold,1-3248.html" TargetMode="External"/><Relationship Id="rId69" Type="http://schemas.openxmlformats.org/officeDocument/2006/relationships/hyperlink" Target="https://www.newegg.com/Product/Product.aspx?item=N82E16822236624" TargetMode="External"/><Relationship Id="rId113" Type="http://schemas.openxmlformats.org/officeDocument/2006/relationships/hyperlink" Target="https://www.hgst.com/products/hard-drives/ultrastar-7k6000" TargetMode="External"/><Relationship Id="rId118" Type="http://schemas.openxmlformats.org/officeDocument/2006/relationships/hyperlink" Target="http://www.newegg.com/Product/Product.aspx?Item=N82E16822146148&amp;utm_medium=Email&amp;utm_source=IGNEFL120517&amp;cm_mmc=EMC-IGNEFL120517-_-EMC-120517-Index-_-DesktopInternalHardDrives-_-22146148-S1A1A&amp;ignorebbr=1" TargetMode="External"/><Relationship Id="rId134" Type="http://schemas.openxmlformats.org/officeDocument/2006/relationships/hyperlink" Target="https://www.newegg.com/Product/Product.aspx?Item=N82E16822235011&amp;ignorebbr=1" TargetMode="External"/><Relationship Id="rId139" Type="http://schemas.openxmlformats.org/officeDocument/2006/relationships/hyperlink" Target="https://www.newegg.com/Product/Product.aspx?item=1Z4-002P-00143" TargetMode="External"/><Relationship Id="rId80" Type="http://schemas.openxmlformats.org/officeDocument/2006/relationships/hyperlink" Target="https://www.newegg.com/Product/Product.aspx?item=N82E16822179101" TargetMode="External"/><Relationship Id="rId85" Type="http://schemas.openxmlformats.org/officeDocument/2006/relationships/hyperlink" Target="https://www.newegg.com/Product/Product.aspx?item=N82E16822179004" TargetMode="External"/><Relationship Id="rId150" Type="http://schemas.openxmlformats.org/officeDocument/2006/relationships/hyperlink" Target="https://toshiba.semicon-storage.com/us/product/storage-products/enterprise-hdd/mg07acaxxx.html" TargetMode="External"/><Relationship Id="rId155" Type="http://schemas.openxmlformats.org/officeDocument/2006/relationships/hyperlink" Target="https://www.amazon.com/Seagate-Enterprise-Capacity-ST12000NM0007-7200RPM/dp/B0759Q9FXZ/ref=sr_1_fkmr0_3?ie=UTF8&amp;qid=1513037781&amp;sr=8-3-fkmr0&amp;keywords=toshiba+12tb" TargetMode="External"/><Relationship Id="rId171" Type="http://schemas.openxmlformats.org/officeDocument/2006/relationships/table" Target="../tables/table1.xml"/><Relationship Id="rId12" Type="http://schemas.openxmlformats.org/officeDocument/2006/relationships/hyperlink" Target="https://www.seagate.com/files/www-content/datasheets/pdfs/ex-os-15-e-900-DS1958-1-1709US-en_US.pdf" TargetMode="External"/><Relationship Id="rId17" Type="http://schemas.openxmlformats.org/officeDocument/2006/relationships/hyperlink" Target="https://www.wdc.com/content/dam/wdc/website/downloadable_assets/eng/spec_data_sheet/2879-800074.pdf" TargetMode="External"/><Relationship Id="rId33" Type="http://schemas.openxmlformats.org/officeDocument/2006/relationships/hyperlink" Target="http://www.hgst.com/sites/default/files/resources/HGST-Helium-Technology-BR03.pdf" TargetMode="External"/><Relationship Id="rId38" Type="http://schemas.openxmlformats.org/officeDocument/2006/relationships/hyperlink" Target="https://www.hgst.com/sites/default/files/resources/7K100_SATA_FINAL_DS.pdf" TargetMode="External"/><Relationship Id="rId59" Type="http://schemas.openxmlformats.org/officeDocument/2006/relationships/hyperlink" Target="https://www.newegg.com/Product/Product.aspx?Item=9SIA99469N9136" TargetMode="External"/><Relationship Id="rId103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08" Type="http://schemas.openxmlformats.org/officeDocument/2006/relationships/hyperlink" Target="http://www.hgst.com/sites/default/files/resources/UltrastarHs14-SATA-OEMSpec-R1.0.pdf" TargetMode="External"/><Relationship Id="rId124" Type="http://schemas.openxmlformats.org/officeDocument/2006/relationships/hyperlink" Target="https://www.newegg.com/Product/Product.aspx?Item=22-178-998&amp;Tpk=22-178-998" TargetMode="External"/><Relationship Id="rId129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54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0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75" Type="http://schemas.openxmlformats.org/officeDocument/2006/relationships/hyperlink" Target="https://www.newegg.com/Product/Product.aspx?item=N82E16822236601" TargetMode="External"/><Relationship Id="rId91" Type="http://schemas.openxmlformats.org/officeDocument/2006/relationships/hyperlink" Target="https://www.newegg.com/Product/Product.aspx?item=N82E16822146067" TargetMode="External"/><Relationship Id="rId96" Type="http://schemas.openxmlformats.org/officeDocument/2006/relationships/hyperlink" Target="https://www.newegg.com/Product/Product.aspx?item=N82E16822235059" TargetMode="External"/><Relationship Id="rId140" Type="http://schemas.openxmlformats.org/officeDocument/2006/relationships/hyperlink" Target="https://www.newegg.com/Product/Product.aspx?Item=22-179-129&amp;Tpk=22-179-129" TargetMode="External"/><Relationship Id="rId145" Type="http://schemas.openxmlformats.org/officeDocument/2006/relationships/hyperlink" Target="https://toshiba.semicon-storage.com/us/product/storage-products/enterprise-hdd/al14sebxxex.html" TargetMode="External"/><Relationship Id="rId161" Type="http://schemas.openxmlformats.org/officeDocument/2006/relationships/hyperlink" Target="https://www.newegg.com/Product/Product.aspx?Item=22-149-631&amp;Tpk=22-149-631" TargetMode="External"/><Relationship Id="rId166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15" Type="http://schemas.openxmlformats.org/officeDocument/2006/relationships/hyperlink" Target="https://www.seagate.com/files/www-content/datasheets/pdfs/exos-x-12-DS1946-1-1709US-en_US.pdf" TargetMode="External"/><Relationship Id="rId23" Type="http://schemas.openxmlformats.org/officeDocument/2006/relationships/hyperlink" Target="https://www.seagate.com/internal-hard-drives/hdd/ironwolf/" TargetMode="External"/><Relationship Id="rId28" Type="http://schemas.openxmlformats.org/officeDocument/2006/relationships/hyperlink" Target="http://hdd.userbenchmark.com/" TargetMode="External"/><Relationship Id="rId36" Type="http://schemas.openxmlformats.org/officeDocument/2006/relationships/hyperlink" Target="http://www.hgst.com/products/hard-drives/ultrastar-he10" TargetMode="External"/><Relationship Id="rId49" Type="http://schemas.openxmlformats.org/officeDocument/2006/relationships/hyperlink" Target="https://www.seagate.com/internal-hard-drives/hdd/ironwolf/?sku=ST10000NE0004" TargetMode="External"/><Relationship Id="rId57" Type="http://schemas.openxmlformats.org/officeDocument/2006/relationships/hyperlink" Target="https://www.newegg.com/Product/Product.aspx?Item=22-145-881&amp;utm_medium=Email&amp;utm_source=GD110817&amp;cm_mmc=EMC-GD110817-_-landing-_-Item-_-22-145-881" TargetMode="External"/><Relationship Id="rId106" Type="http://schemas.openxmlformats.org/officeDocument/2006/relationships/hyperlink" Target="https://www.seagate.com/www-content/product-content/hdd-fam/seagate-archive-hdd/en-us/docs/archive-hdd-dS1834-3-1411us.pdf" TargetMode="External"/><Relationship Id="rId114" Type="http://schemas.openxmlformats.org/officeDocument/2006/relationships/hyperlink" Target="https://www.hgst.com/products/hard-drives/ultrastar-7k6000" TargetMode="External"/><Relationship Id="rId119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27" Type="http://schemas.openxmlformats.org/officeDocument/2006/relationships/hyperlink" Target="https://www.seagate.com/www-content/product-content/barracuda-fam/barracuda-new/en-us/docs/100811076e.pdf" TargetMode="External"/><Relationship Id="rId10" Type="http://schemas.openxmlformats.org/officeDocument/2006/relationships/hyperlink" Target="https://www.seagate.com/internal-hard-drives/hdd/barracuda/" TargetMode="External"/><Relationship Id="rId31" Type="http://schemas.openxmlformats.org/officeDocument/2006/relationships/hyperlink" Target="http://www.hgst.com/sites/default/files/resources/HGST-Helium-Technology-BR03.pdf" TargetMode="External"/><Relationship Id="rId44" Type="http://schemas.openxmlformats.org/officeDocument/2006/relationships/hyperlink" Target="https://toshiba.semicon-storage.com/us/product/storage-products/enterprise-hdd/mg06acaxxxx.html" TargetMode="External"/><Relationship Id="rId52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60" Type="http://schemas.openxmlformats.org/officeDocument/2006/relationships/hyperlink" Target="https://www.newegg.com/Product/Product.aspx?Item=9SIA75M5XX1494" TargetMode="External"/><Relationship Id="rId65" Type="http://schemas.openxmlformats.org/officeDocument/2006/relationships/hyperlink" Target="https://www.hgst.com/sites/default/files/resources/UltrastarHa10-SAS-OEMSpec-r2.1.pdf" TargetMode="External"/><Relationship Id="rId73" Type="http://schemas.openxmlformats.org/officeDocument/2006/relationships/hyperlink" Target="https://www.newegg.com/Product/Product.aspx?item=1B0-0020-000G1" TargetMode="External"/><Relationship Id="rId78" Type="http://schemas.openxmlformats.org/officeDocument/2006/relationships/hyperlink" Target="https://www.newegg.com/Product/Product.aspx?item=N82E16822172026" TargetMode="External"/><Relationship Id="rId81" Type="http://schemas.openxmlformats.org/officeDocument/2006/relationships/hyperlink" Target="https://www.newegg.com/Product/Product.aspx?item=N82E16822179102" TargetMode="External"/><Relationship Id="rId86" Type="http://schemas.openxmlformats.org/officeDocument/2006/relationships/hyperlink" Target="http://www.newegg.com/Product/Product.aspx?Item=N82E16822179005&amp;utm_medium=Email&amp;utm_source=IGNEFL121917&amp;cm_mmc=EMC-IGNEFL121917-_-EMC-121917-Index-_-DesktopInternalHardDrives-_-22179005-S3A2D&amp;ignorebbr=1" TargetMode="External"/><Relationship Id="rId94" Type="http://schemas.openxmlformats.org/officeDocument/2006/relationships/hyperlink" Target="https://www.newegg.com/Product/Product.aspx?item=N82E16822232560" TargetMode="External"/><Relationship Id="rId99" Type="http://schemas.openxmlformats.org/officeDocument/2006/relationships/hyperlink" Target="https://www.newegg.com/Product/Product.aspx?item=1Z4-0002-002U9" TargetMode="External"/><Relationship Id="rId101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122" Type="http://schemas.openxmlformats.org/officeDocument/2006/relationships/hyperlink" Target="https://www.newegg.com/Product/Product.aspx?Item=22-179-002&amp;Tpk=22-179-002" TargetMode="External"/><Relationship Id="rId130" Type="http://schemas.openxmlformats.org/officeDocument/2006/relationships/hyperlink" Target="https://secure.neweggbusiness.com/new/shopping/shoppingcart.aspx" TargetMode="External"/><Relationship Id="rId135" Type="http://schemas.openxmlformats.org/officeDocument/2006/relationships/hyperlink" Target="https://www.newegg.com/Product/Product.aspx?Item=N82E16822149629&amp;ignorebbr=1" TargetMode="External"/><Relationship Id="rId143" Type="http://schemas.openxmlformats.org/officeDocument/2006/relationships/hyperlink" Target="https://www.newegg.com/Product/Product.aspx?item=N82E16822149408" TargetMode="External"/><Relationship Id="rId148" Type="http://schemas.openxmlformats.org/officeDocument/2006/relationships/hyperlink" Target="https://toshiba.semicon-storage.com/us/product/storage-products/enterprise-hdd/mg07acaxxx.html" TargetMode="External"/><Relationship Id="rId151" Type="http://schemas.openxmlformats.org/officeDocument/2006/relationships/hyperlink" Target="https://www.newegg.com/Product/Product.aspx?Item=9SIA5EM5NM4177" TargetMode="External"/><Relationship Id="rId156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164" Type="http://schemas.openxmlformats.org/officeDocument/2006/relationships/hyperlink" Target="https://toshiba.semicon-storage.com/us/product/storage-products/enterprise-hdd/al14sxbxxex.html" TargetMode="External"/><Relationship Id="rId169" Type="http://schemas.openxmlformats.org/officeDocument/2006/relationships/drawing" Target="../drawings/drawing1.xm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72" Type="http://schemas.openxmlformats.org/officeDocument/2006/relationships/comments" Target="../comments1.xml"/><Relationship Id="rId13" Type="http://schemas.openxmlformats.org/officeDocument/2006/relationships/hyperlink" Target="https://www.seagate.com/files/www-content/datasheets/pdfs/exos-10e2400DS1959-1-1709US-en_US.pdf" TargetMode="External"/><Relationship Id="rId18" Type="http://schemas.openxmlformats.org/officeDocument/2006/relationships/hyperlink" Target="https://www.wdc.com/content/dam/wdc/website/downloadable_assets/eng/spec_data_sheet/2879-800022.pdf" TargetMode="External"/><Relationship Id="rId39" Type="http://schemas.openxmlformats.org/officeDocument/2006/relationships/hyperlink" Target="https://www.toshiba-storage.com/products/n300/?pdf" TargetMode="External"/><Relationship Id="rId109" Type="http://schemas.openxmlformats.org/officeDocument/2006/relationships/hyperlink" Target="https://www.newegg.com/Product/Product.aspx?Item=N82E16822146148&amp;ignorebbr=1" TargetMode="External"/><Relationship Id="rId34" Type="http://schemas.openxmlformats.org/officeDocument/2006/relationships/hyperlink" Target="http://www.hgst.com/sites/default/files/resources/HGST-Helium-Technology-BR03.pdf" TargetMode="External"/><Relationship Id="rId50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55" Type="http://schemas.openxmlformats.org/officeDocument/2006/relationships/hyperlink" Target="https://www.newegg.com/Product/Product.aspx?item=N82E16822149696" TargetMode="External"/><Relationship Id="rId76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97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04" Type="http://schemas.openxmlformats.org/officeDocument/2006/relationships/hyperlink" Target="https://www.newegg.com/Product/Product.aspx?item=9SIA4A04NB8762" TargetMode="External"/><Relationship Id="rId120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25" Type="http://schemas.openxmlformats.org/officeDocument/2006/relationships/hyperlink" Target="https://www.newegg.com/Product/Product.aspx?Item=22-172-024&amp;Tpk=22-172-024" TargetMode="External"/><Relationship Id="rId141" Type="http://schemas.openxmlformats.org/officeDocument/2006/relationships/hyperlink" Target="https://www.newegg.com/Product/Product.aspx?Item=22-149-407&amp;utm_medium=Email&amp;utm_source=GD010318&amp;cm_mmc=EMC-GD010318-_-landing-_-Item-_-22-149-407" TargetMode="External"/><Relationship Id="rId146" Type="http://schemas.openxmlformats.org/officeDocument/2006/relationships/hyperlink" Target="https://toshiba.semicon-storage.com/us/product/storage-products/enterprise-hdd/al14sxbxxex.html" TargetMode="External"/><Relationship Id="rId167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newegg.com/Product/Product.aspx?item=N82E16822235128" TargetMode="External"/><Relationship Id="rId92" Type="http://schemas.openxmlformats.org/officeDocument/2006/relationships/hyperlink" Target="https://www.newegg.com/Product/Product.aspx?Item=9SIA25V4XG7457&amp;cm_re=Ultrastar_7K6000_5tb-_-9SIA25V4XG7457-_-Product" TargetMode="External"/><Relationship Id="rId162" Type="http://schemas.openxmlformats.org/officeDocument/2006/relationships/hyperlink" Target="https://www.newegg.com/Product/Product.aspx?Item=22-149-632&amp;Tpk=22-149-632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ironwolf/" TargetMode="External"/><Relationship Id="rId40" Type="http://schemas.openxmlformats.org/officeDocument/2006/relationships/hyperlink" Target="http://www.toshiba.eu/Contents/Toshiba_teg/EU/Others/HDD_datasheets/X300_High-Performance_Hard_Drive_Datasheet.pdf" TargetMode="External"/><Relationship Id="rId45" Type="http://schemas.openxmlformats.org/officeDocument/2006/relationships/hyperlink" Target="https://toshiba.semicon-storage.com/us/product/storage-products/enterprise-hdd/mg06acaxxxx.html" TargetMode="External"/><Relationship Id="rId66" Type="http://schemas.openxmlformats.org/officeDocument/2006/relationships/hyperlink" Target="http://www.hgst.com/avl/src_front/compatibility.php?mode=product_pdf&amp;pid=106&amp;lang=en" TargetMode="External"/><Relationship Id="rId87" Type="http://schemas.openxmlformats.org/officeDocument/2006/relationships/hyperlink" Target="https://www.newegg.com/Product/Product.aspx?item=N82E16822179006" TargetMode="External"/><Relationship Id="rId110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15" Type="http://schemas.openxmlformats.org/officeDocument/2006/relationships/hyperlink" Target="https://www.hgst.com/sites/default/files/resources/Ultrastar-7K2-EN-US-DS.pdf" TargetMode="External"/><Relationship Id="rId131" Type="http://schemas.openxmlformats.org/officeDocument/2006/relationships/hyperlink" Target="https://www.newegg.com/Product/ComboDealDetails.aspx?ItemList=Combo.3683690" TargetMode="External"/><Relationship Id="rId136" Type="http://schemas.openxmlformats.org/officeDocument/2006/relationships/hyperlink" Target="https://www.newegg.com/Product/Product.aspx?item=1Z4-002P-00139" TargetMode="External"/><Relationship Id="rId157" Type="http://schemas.openxmlformats.org/officeDocument/2006/relationships/hyperlink" Target="http://www.newegg.com/Product/Product.aspx?Item=N82E16822149628&amp;utm_medium=Email&amp;utm_source=IGNEFL121417&amp;cm_mmc=EMC-IGNEFL121417-_-EMC-121417-Index-_-DesktopInternalHardDrives-_-22149628-S1A1C&amp;ignorebbr=1" TargetMode="External"/><Relationship Id="rId61" Type="http://schemas.openxmlformats.org/officeDocument/2006/relationships/hyperlink" Target="https://www.newegg.com/Product/Product.aspx?item=N82E16822179007" TargetMode="External"/><Relationship Id="rId82" Type="http://schemas.openxmlformats.org/officeDocument/2006/relationships/hyperlink" Target="https://www.newegg.com/Product/Product.aspx?item=N82E16822178997" TargetMode="External"/><Relationship Id="rId152" Type="http://schemas.openxmlformats.org/officeDocument/2006/relationships/hyperlink" Target="https://www.newegg.com/Product/Product.aspx?Item=9SIAEF26771390" TargetMode="External"/><Relationship Id="rId19" Type="http://schemas.openxmlformats.org/officeDocument/2006/relationships/hyperlink" Target="https://www.wdc.com/content/dam/wdc/website/downloadable_assets/eng/spec_data_sheet/2879-800002.pdf" TargetMode="External"/><Relationship Id="rId14" Type="http://schemas.openxmlformats.org/officeDocument/2006/relationships/hyperlink" Target="https://www.seagate.com/enterprise-storage/enterprise-models/?mod=exos-x10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://www.hgst.com/products/hard-drives/ultrastar-he12" TargetMode="External"/><Relationship Id="rId56" Type="http://schemas.openxmlformats.org/officeDocument/2006/relationships/hyperlink" Target="https://www.newegg.com/Product/Product.aspx?item=N82E16822149697" TargetMode="External"/><Relationship Id="rId77" Type="http://schemas.openxmlformats.org/officeDocument/2006/relationships/hyperlink" Target="https://images10.newegg.com/ProductImageCompressAll300/22-179-103-S01.jpg?ex=2" TargetMode="External"/><Relationship Id="rId100" Type="http://schemas.openxmlformats.org/officeDocument/2006/relationships/hyperlink" Target="https://www.newegg.com/Product/Product.aspx?Item=N82E16822178993&amp;ignorebbr=1" TargetMode="External"/><Relationship Id="rId105" Type="http://schemas.openxmlformats.org/officeDocument/2006/relationships/hyperlink" Target="https://www.seagate.com/www-content/product-content/hdd-fam/seagate-archive-hdd/en-us/docs/archive-hdd-dS1834-3-1411us.pdf" TargetMode="External"/><Relationship Id="rId126" Type="http://schemas.openxmlformats.org/officeDocument/2006/relationships/hyperlink" Target="https://www.seagate.com/www-content/product-content/barracuda-fam/barracuda-new/en-us/docs/100818004c.pdf" TargetMode="External"/><Relationship Id="rId147" Type="http://schemas.openxmlformats.org/officeDocument/2006/relationships/hyperlink" Target="https://toshiba.semicon-storage.com/us/product/storage-products/enterprise-hdd/mg06acaxxxx.html" TargetMode="External"/><Relationship Id="rId168" Type="http://schemas.openxmlformats.org/officeDocument/2006/relationships/printerSettings" Target="../printerSettings/printerSettings1.bin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72" Type="http://schemas.openxmlformats.org/officeDocument/2006/relationships/hyperlink" Target="https://www.newegg.com/Product/Product.aspx?item=N82E16822236496" TargetMode="External"/><Relationship Id="rId93" Type="http://schemas.openxmlformats.org/officeDocument/2006/relationships/hyperlink" Target="https://www.newegg.com/Product/Product.aspx?Item=N82E16822235131&amp;cm_re=wd_gold_enterprise-_-22-235-131-_-Product" TargetMode="External"/><Relationship Id="rId98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121" Type="http://schemas.openxmlformats.org/officeDocument/2006/relationships/hyperlink" Target="https://www.amazon.com/HGST-Drive-0F29562-72000RPM-Ultrastar/dp/B074JJVJ2N/ref=sr_1_2?ie=UTF8&amp;qid=1511815137&amp;sr=8-2&amp;keywords=he12+hgst" TargetMode="External"/><Relationship Id="rId142" Type="http://schemas.openxmlformats.org/officeDocument/2006/relationships/hyperlink" Target="https://www.newegg.com/Product/Product.aspx?item=N82E16822149382" TargetMode="External"/><Relationship Id="rId163" Type="http://schemas.openxmlformats.org/officeDocument/2006/relationships/hyperlink" Target="https://www.newegg.com/Product/Product.aspx?Item=22-149-633&amp;Tpk=22-149-633" TargetMode="External"/><Relationship Id="rId3" Type="http://schemas.openxmlformats.org/officeDocument/2006/relationships/hyperlink" Target="https://www.hgst.com/products/hard-drives/nas-desktop-drive-kit" TargetMode="External"/><Relationship Id="rId25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46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67" Type="http://schemas.openxmlformats.org/officeDocument/2006/relationships/hyperlink" Target="https://www.goharddrive.com/HGST-Ultrastar-HE6-HUS726060ALA640-6TB-HDD-p/g01-1073.htm" TargetMode="External"/><Relationship Id="rId116" Type="http://schemas.openxmlformats.org/officeDocument/2006/relationships/hyperlink" Target="https://www.amazon.com/HGST-HUH728080ALE600-SATA-7-2K-128M/dp/B00Q1IZJD8/ref=sr_1_fkmr1_3?ie=UTF8&amp;qid=1514248010&amp;sr=8-3-fkmr1&amp;keywords=hgst+hs14" TargetMode="External"/><Relationship Id="rId137" Type="http://schemas.openxmlformats.org/officeDocument/2006/relationships/hyperlink" Target="https://www.newegg.com/Product/Product.aspx?item=1Z4-002P-000N0" TargetMode="External"/><Relationship Id="rId158" Type="http://schemas.openxmlformats.org/officeDocument/2006/relationships/hyperlink" Target="https://www.newegg.com/Product/Product.aspx?Item=22-179-130&amp;Tpk=22-179-130" TargetMode="External"/><Relationship Id="rId20" Type="http://schemas.openxmlformats.org/officeDocument/2006/relationships/hyperlink" Target="https://www.wdc.com/content/dam/wdc/website/downloadable_assets/eng/spec_data_sheet/2879-771436.pdf" TargetMode="External"/><Relationship Id="rId41" Type="http://schemas.openxmlformats.org/officeDocument/2006/relationships/hyperlink" Target="https://www.toshiba.eu/Contents/Toshiba_teg/EU/Others/HDD_datasheets/P300_High-Performance_Hard_Drive_Datasheet.pdf" TargetMode="External"/><Relationship Id="rId62" Type="http://schemas.openxmlformats.org/officeDocument/2006/relationships/hyperlink" Target="http://www.tomsitpro.com/articles/hgst-ultrastar-c15k600-hdd,2-906-3.html" TargetMode="External"/><Relationship Id="rId83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88" Type="http://schemas.openxmlformats.org/officeDocument/2006/relationships/hyperlink" Target="https://www.newegg.com/Product/Product.aspx?item=N82E16822179008" TargetMode="External"/><Relationship Id="rId111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32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53" Type="http://schemas.openxmlformats.org/officeDocument/2006/relationships/hyperlink" Target="https://www.newegg.com/Product/Product.aspx?Item=N82E16822178994&amp;ignorebbr=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64"/>
  <sheetViews>
    <sheetView tabSelected="1" topLeftCell="M1" zoomScale="96" zoomScaleNormal="96" workbookViewId="0">
      <pane ySplit="2" topLeftCell="A128" activePane="bottomLeft" state="frozen"/>
      <selection pane="bottomLeft" activeCell="AB139" sqref="AB139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9" width="9.42578125" style="3" customWidth="1"/>
    <col min="30" max="31" width="26.42578125" customWidth="1"/>
  </cols>
  <sheetData>
    <row r="1" spans="1:30" ht="15.75" thickBot="1" x14ac:dyDescent="0.3">
      <c r="A1" s="225" t="s">
        <v>90</v>
      </c>
      <c r="B1" s="226"/>
      <c r="C1" s="226"/>
      <c r="D1" s="226"/>
      <c r="E1" s="226"/>
      <c r="F1" s="227"/>
      <c r="G1" s="222" t="s">
        <v>68</v>
      </c>
      <c r="H1" s="223"/>
      <c r="I1" s="223"/>
      <c r="J1" s="223"/>
      <c r="K1" s="224"/>
      <c r="L1" s="214" t="s">
        <v>117</v>
      </c>
      <c r="M1" s="215"/>
      <c r="N1" s="215"/>
      <c r="O1" s="215"/>
      <c r="P1" s="216"/>
      <c r="Q1" s="217" t="s">
        <v>70</v>
      </c>
      <c r="R1" s="218"/>
      <c r="S1" s="218"/>
      <c r="T1" s="218"/>
      <c r="U1" s="219"/>
      <c r="V1" s="219"/>
      <c r="W1" s="212" t="s">
        <v>136</v>
      </c>
      <c r="X1" s="213"/>
      <c r="Y1" s="209" t="s">
        <v>37</v>
      </c>
      <c r="Z1" s="210"/>
      <c r="AA1" s="211"/>
      <c r="AB1" s="201" t="s">
        <v>147</v>
      </c>
      <c r="AC1" s="202"/>
      <c r="AD1" s="38"/>
    </row>
    <row r="2" spans="1:30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49</v>
      </c>
      <c r="E2" s="9" t="s">
        <v>87</v>
      </c>
      <c r="F2" s="9" t="s">
        <v>27</v>
      </c>
      <c r="G2" s="63" t="s">
        <v>7</v>
      </c>
      <c r="H2" s="9" t="s">
        <v>65</v>
      </c>
      <c r="I2" s="9" t="s">
        <v>67</v>
      </c>
      <c r="J2" s="35" t="s">
        <v>64</v>
      </c>
      <c r="K2" s="64" t="s">
        <v>63</v>
      </c>
      <c r="L2" s="35" t="s">
        <v>118</v>
      </c>
      <c r="M2" s="24" t="s">
        <v>62</v>
      </c>
      <c r="N2" s="24" t="s">
        <v>61</v>
      </c>
      <c r="O2" s="24" t="s">
        <v>59</v>
      </c>
      <c r="P2" s="34" t="s">
        <v>60</v>
      </c>
      <c r="Q2" s="36" t="s">
        <v>36</v>
      </c>
      <c r="R2" s="24" t="s">
        <v>8</v>
      </c>
      <c r="S2" s="24" t="s">
        <v>9</v>
      </c>
      <c r="T2" s="34" t="s">
        <v>31</v>
      </c>
      <c r="U2" s="35" t="s">
        <v>21</v>
      </c>
      <c r="V2" s="34" t="s">
        <v>47</v>
      </c>
      <c r="W2" s="139" t="s">
        <v>2</v>
      </c>
      <c r="X2" s="37" t="s">
        <v>3</v>
      </c>
      <c r="Y2" s="36" t="s">
        <v>33</v>
      </c>
      <c r="Z2" s="24" t="s">
        <v>48</v>
      </c>
      <c r="AA2" s="34" t="s">
        <v>20</v>
      </c>
      <c r="AB2" s="184" t="s">
        <v>148</v>
      </c>
      <c r="AC2" s="185" t="s">
        <v>149</v>
      </c>
      <c r="AD2" s="174" t="s">
        <v>41</v>
      </c>
    </row>
    <row r="3" spans="1:30" ht="15.75" thickTop="1" x14ac:dyDescent="0.25">
      <c r="A3" s="1">
        <v>43036</v>
      </c>
      <c r="B3" t="s">
        <v>15</v>
      </c>
      <c r="C3" s="116" t="s">
        <v>16</v>
      </c>
      <c r="D3" s="31" t="s">
        <v>50</v>
      </c>
      <c r="E3" s="99">
        <v>3.5</v>
      </c>
      <c r="F3" s="85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29"/>
      <c r="U3" s="133"/>
      <c r="V3" s="133"/>
      <c r="W3" s="140">
        <f>219.99/2</f>
        <v>109.995</v>
      </c>
      <c r="X3" s="6">
        <f>Table5[[#This Row],[Cost]]/Table5[[#This Row],[SizTB]]*Exchange_Rate</f>
        <v>27.498750000000001</v>
      </c>
      <c r="Y3" s="171">
        <f>Table5[[#This Row],[Cost]]+((CompareWarrYrs-Table5[[#This Row],[S]])*(Incremental_Warr_Yr*Table5[[#This Row],[Cost]]))*Exchange_Rate</f>
        <v>134.19390000000001</v>
      </c>
      <c r="Z3" s="6">
        <f>Table5[[#This Row],[$+Warr]]/Table5[[#This Row],[SizTB]]</f>
        <v>33.548475000000003</v>
      </c>
      <c r="AA3" s="6">
        <f>Table5[[#This Row],[$PerTB]]/CompareWarrYrs</f>
        <v>6.7096950000000009</v>
      </c>
      <c r="AB3" s="186"/>
      <c r="AC3" s="191"/>
      <c r="AD3" s="190" t="s">
        <v>127</v>
      </c>
    </row>
    <row r="4" spans="1:30" x14ac:dyDescent="0.25">
      <c r="A4" s="1">
        <v>43101</v>
      </c>
      <c r="B4" t="s">
        <v>15</v>
      </c>
      <c r="C4" s="116" t="s">
        <v>16</v>
      </c>
      <c r="D4" s="31" t="s">
        <v>50</v>
      </c>
      <c r="E4" s="99">
        <v>3.5</v>
      </c>
      <c r="F4" s="85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29"/>
      <c r="U4" s="134"/>
      <c r="V4" s="133"/>
      <c r="W4" s="141">
        <v>164.99</v>
      </c>
      <c r="X4" s="6">
        <f>Table5[[#This Row],[Cost]]/Table5[[#This Row],[SizTB]]*Exchange_Rate</f>
        <v>27.498333333333335</v>
      </c>
      <c r="Y4" s="172">
        <f>Table5[[#This Row],[Cost]]+((CompareWarrYrs-Table5[[#This Row],[S]])*(Incremental_Warr_Yr*Table5[[#This Row],[Cost]]))*Exchange_Rate</f>
        <v>201.2878</v>
      </c>
      <c r="Z4" s="6">
        <f>Table5[[#This Row],[$+Warr]]/Table5[[#This Row],[SizTB]]</f>
        <v>33.547966666666667</v>
      </c>
      <c r="AA4" s="6">
        <f>Table5[[#This Row],[$PerTB]]/CompareWarrYrs</f>
        <v>6.7095933333333333</v>
      </c>
      <c r="AB4" s="186"/>
      <c r="AC4" s="187"/>
      <c r="AD4" s="84" t="s">
        <v>79</v>
      </c>
    </row>
    <row r="5" spans="1:30" x14ac:dyDescent="0.25">
      <c r="A5" s="1">
        <v>43094</v>
      </c>
      <c r="B5" t="s">
        <v>15</v>
      </c>
      <c r="C5" s="116" t="s">
        <v>16</v>
      </c>
      <c r="D5" s="31" t="s">
        <v>50</v>
      </c>
      <c r="E5" s="99">
        <v>3.5</v>
      </c>
      <c r="F5" s="85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29"/>
      <c r="U5" s="134"/>
      <c r="V5" s="133"/>
      <c r="W5" s="141">
        <v>244.99</v>
      </c>
      <c r="X5" s="6">
        <f>Table5[[#This Row],[Cost]]/Table5[[#This Row],[SizTB]]*Exchange_Rate</f>
        <v>30.623750000000001</v>
      </c>
      <c r="Y5" s="172">
        <f>Table5[[#This Row],[Cost]]+((CompareWarrYrs-Table5[[#This Row],[S]])*(Incremental_Warr_Yr*Table5[[#This Row],[Cost]]))*Exchange_Rate</f>
        <v>298.88780000000003</v>
      </c>
      <c r="Z5" s="6">
        <f>Table5[[#This Row],[$+Warr]]/Table5[[#This Row],[SizTB]]</f>
        <v>37.360975000000003</v>
      </c>
      <c r="AA5" s="6">
        <f>Table5[[#This Row],[$PerTB]]/CompareWarrYrs</f>
        <v>7.472195000000001</v>
      </c>
      <c r="AB5" s="186"/>
      <c r="AC5" s="187"/>
      <c r="AD5" s="44"/>
    </row>
    <row r="6" spans="1:30" x14ac:dyDescent="0.25">
      <c r="A6" s="1">
        <v>43080</v>
      </c>
      <c r="B6" t="s">
        <v>15</v>
      </c>
      <c r="C6" s="116" t="s">
        <v>16</v>
      </c>
      <c r="D6" s="31" t="s">
        <v>50</v>
      </c>
      <c r="E6" s="99">
        <v>3.5</v>
      </c>
      <c r="F6" s="85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29"/>
      <c r="U6" s="134"/>
      <c r="V6" s="133"/>
      <c r="W6" s="141">
        <v>319</v>
      </c>
      <c r="X6" s="6">
        <f>Table5[[#This Row],[Cost]]/Table5[[#This Row],[SizTB]]*Exchange_Rate</f>
        <v>31.9</v>
      </c>
      <c r="Y6" s="172">
        <f>Table5[[#This Row],[Cost]]+((CompareWarrYrs-Table5[[#This Row],[S]])*(Incremental_Warr_Yr*Table5[[#This Row],[Cost]]))*Exchange_Rate</f>
        <v>389.18</v>
      </c>
      <c r="Z6" s="6">
        <f>Table5[[#This Row],[$+Warr]]/Table5[[#This Row],[SizTB]]</f>
        <v>38.917999999999999</v>
      </c>
      <c r="AA6" s="6">
        <f>Table5[[#This Row],[$PerTB]]/CompareWarrYrs</f>
        <v>7.7835999999999999</v>
      </c>
      <c r="AB6" s="186"/>
      <c r="AC6" s="187"/>
      <c r="AD6" s="44"/>
    </row>
    <row r="7" spans="1:30" x14ac:dyDescent="0.25">
      <c r="A7" s="1">
        <v>43005</v>
      </c>
      <c r="B7" t="s">
        <v>15</v>
      </c>
      <c r="C7" s="116" t="s">
        <v>140</v>
      </c>
      <c r="D7" s="31" t="s">
        <v>129</v>
      </c>
      <c r="E7" s="99">
        <v>2.5</v>
      </c>
      <c r="F7" s="85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29">
        <v>0.2</v>
      </c>
      <c r="U7" s="133">
        <f>(((Table5[[#This Row],[Watts Active]]*Power_On_Hours_Year/1000)*Active_Duty_Cycle)+((Table5[[#This Row],[Watts Idle]]*Power_On_Hours_Year/1000)*(100%-Active_Duty_Cycle)))*CostPerKWH</f>
        <v>1.0518912</v>
      </c>
      <c r="V7" s="133">
        <f>Table5[Energy$year]/Table5[[#This Row],[SizTB]]</f>
        <v>1.0518912</v>
      </c>
      <c r="W7" s="140">
        <v>49.99</v>
      </c>
      <c r="X7" s="6">
        <f>Table5[[#This Row],[Cost]]/Table5[[#This Row],[SizTB]]*Exchange_Rate</f>
        <v>49.99</v>
      </c>
      <c r="Y7" s="172">
        <f>Table5[[#This Row],[Cost]]+((CompareWarrYrs-Table5[[#This Row],[S]])*(Incremental_Warr_Yr*Table5[[#This Row],[Cost]]))*Exchange_Rate</f>
        <v>60.9878</v>
      </c>
      <c r="Z7" s="6">
        <f>Table5[[#This Row],[$+Warr]]/Table5[[#This Row],[SizTB]]</f>
        <v>60.9878</v>
      </c>
      <c r="AA7" s="6">
        <f>Table5[[#This Row],[$PerTB]]/CompareWarrYrs</f>
        <v>12.197559999999999</v>
      </c>
      <c r="AB7" s="186"/>
      <c r="AC7" s="187"/>
      <c r="AD7" s="44"/>
    </row>
    <row r="8" spans="1:30" x14ac:dyDescent="0.25">
      <c r="A8" s="1">
        <v>43080</v>
      </c>
      <c r="B8" t="s">
        <v>15</v>
      </c>
      <c r="C8" s="116" t="s">
        <v>141</v>
      </c>
      <c r="D8" s="31" t="s">
        <v>129</v>
      </c>
      <c r="E8" s="99">
        <v>2.5</v>
      </c>
      <c r="F8" s="85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29">
        <v>0.2</v>
      </c>
      <c r="U8" s="133">
        <f>(((Table5[[#This Row],[Watts Active]]*Power_On_Hours_Year/1000)*Active_Duty_Cycle)+((Table5[[#This Row],[Watts Idle]]*Power_On_Hours_Year/1000)*(100%-Active_Duty_Cycle)))*CostPerKWH</f>
        <v>2.3448408000000001</v>
      </c>
      <c r="V8" s="133">
        <f>Table5[Energy$year]/Table5[[#This Row],[SizTB]]</f>
        <v>2.3448408000000001</v>
      </c>
      <c r="W8" s="141">
        <v>54.99</v>
      </c>
      <c r="X8" s="6">
        <f>Table5[[#This Row],[Cost]]/Table5[[#This Row],[SizTB]]*Exchange_Rate</f>
        <v>54.99</v>
      </c>
      <c r="Y8" s="172">
        <f>Table5[[#This Row],[Cost]]+((CompareWarrYrs-Table5[[#This Row],[S]])*(Incremental_Warr_Yr*Table5[[#This Row],[Cost]]))*Exchange_Rate</f>
        <v>67.087800000000001</v>
      </c>
      <c r="Z8" s="6">
        <f>Table5[[#This Row],[$+Warr]]/Table5[[#This Row],[SizTB]]</f>
        <v>67.087800000000001</v>
      </c>
      <c r="AA8" s="6">
        <f>Table5[[#This Row],[$PerTB]]/CompareWarrYrs</f>
        <v>13.41756</v>
      </c>
      <c r="AB8" s="186"/>
      <c r="AC8" s="187"/>
      <c r="AD8" s="44"/>
    </row>
    <row r="9" spans="1:30" x14ac:dyDescent="0.25">
      <c r="A9" s="198">
        <v>43094</v>
      </c>
      <c r="B9" t="s">
        <v>15</v>
      </c>
      <c r="C9" s="116" t="s">
        <v>139</v>
      </c>
      <c r="D9" s="128" t="s">
        <v>50</v>
      </c>
      <c r="E9" s="99">
        <v>3.5</v>
      </c>
      <c r="F9" s="85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29"/>
      <c r="U9" s="133">
        <f>(((Table5[[#This Row],[Watts Active]]*Power_On_Hours_Year/1000)*Active_Duty_Cycle)+((Table5[[#This Row],[Watts Idle]]*Power_On_Hours_Year/1000)*(100%-Active_Duty_Cycle)))*CostPerKWH</f>
        <v>6.9468648000000002</v>
      </c>
      <c r="V9" s="133">
        <f>Table5[Energy$year]/Table5[[#This Row],[SizTB]]</f>
        <v>6.9468648000000002</v>
      </c>
      <c r="W9" s="141">
        <v>53.9</v>
      </c>
      <c r="X9" s="6">
        <f>Table5[[#This Row],[Cost]]/Table5[[#This Row],[SizTB]]*Exchange_Rate</f>
        <v>53.9</v>
      </c>
      <c r="Y9" s="172">
        <f>Table5[[#This Row],[Cost]]+((CompareWarrYrs-Table5[[#This Row],[S]])*(Incremental_Warr_Yr*Table5[[#This Row],[Cost]]))*Exchange_Rate</f>
        <v>53.9</v>
      </c>
      <c r="Z9" s="6">
        <f>Table5[[#This Row],[$+Warr]]/Table5[[#This Row],[SizTB]]</f>
        <v>53.9</v>
      </c>
      <c r="AA9" s="6">
        <f>Table5[[#This Row],[$PerTB]]/CompareWarrYrs</f>
        <v>10.78</v>
      </c>
      <c r="AB9" s="186"/>
      <c r="AC9" s="187"/>
      <c r="AD9" s="44"/>
    </row>
    <row r="10" spans="1:30" x14ac:dyDescent="0.25">
      <c r="A10" s="1">
        <v>43094</v>
      </c>
      <c r="B10" t="s">
        <v>15</v>
      </c>
      <c r="C10" s="116" t="s">
        <v>139</v>
      </c>
      <c r="D10" s="128" t="s">
        <v>50</v>
      </c>
      <c r="E10" s="99">
        <v>3.5</v>
      </c>
      <c r="F10" s="85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29"/>
      <c r="U10" s="133">
        <f>(((Table5[[#This Row],[Watts Active]]*Power_On_Hours_Year/1000)*Active_Duty_Cycle)+((Table5[[#This Row],[Watts Idle]]*Power_On_Hours_Year/1000)*(100%-Active_Duty_Cycle)))*CostPerKWH</f>
        <v>6.9468648000000002</v>
      </c>
      <c r="V10" s="133">
        <f>Table5[Energy$year]/Table5[[#This Row],[SizTB]]</f>
        <v>3.4734324000000001</v>
      </c>
      <c r="W10" s="141">
        <v>121.38</v>
      </c>
      <c r="X10" s="6">
        <f>Table5[[#This Row],[Cost]]/Table5[[#This Row],[SizTB]]*Exchange_Rate</f>
        <v>60.69</v>
      </c>
      <c r="Y10" s="172">
        <f>Table5[[#This Row],[Cost]]+((CompareWarrYrs-Table5[[#This Row],[S]])*(Incremental_Warr_Yr*Table5[[#This Row],[Cost]]))*Exchange_Rate</f>
        <v>121.38</v>
      </c>
      <c r="Z10" s="6">
        <f>Table5[[#This Row],[$+Warr]]/Table5[[#This Row],[SizTB]]</f>
        <v>60.69</v>
      </c>
      <c r="AA10" s="6">
        <f>Table5[[#This Row],[$PerTB]]/CompareWarrYrs</f>
        <v>12.138</v>
      </c>
      <c r="AB10" s="186"/>
      <c r="AC10" s="187"/>
      <c r="AD10" s="44"/>
    </row>
    <row r="11" spans="1:30" x14ac:dyDescent="0.25">
      <c r="A11" s="1">
        <v>43053</v>
      </c>
      <c r="B11" t="s">
        <v>15</v>
      </c>
      <c r="C11" s="116" t="s">
        <v>138</v>
      </c>
      <c r="D11" s="31" t="s">
        <v>50</v>
      </c>
      <c r="E11" s="99">
        <v>3.5</v>
      </c>
      <c r="F11" s="85">
        <v>2</v>
      </c>
      <c r="G11" s="46">
        <v>7200</v>
      </c>
      <c r="H11" s="5">
        <v>4.16</v>
      </c>
      <c r="I11" s="5">
        <v>8</v>
      </c>
      <c r="J11" s="65">
        <f>(Table5[[#This Row],[RPM]]/5400-1)</f>
        <v>0.33333333333333326</v>
      </c>
      <c r="K11" s="49">
        <v>192</v>
      </c>
      <c r="L11">
        <v>5</v>
      </c>
      <c r="M11" s="40">
        <v>600000</v>
      </c>
      <c r="O11" s="40">
        <v>2000000</v>
      </c>
      <c r="P11" s="39">
        <v>1000000000000000</v>
      </c>
      <c r="Q11" s="57"/>
      <c r="R11" s="5">
        <v>9.1</v>
      </c>
      <c r="S11" s="5">
        <v>7.1</v>
      </c>
      <c r="T11" s="129"/>
      <c r="U11" s="133">
        <f>(((Table5[[#This Row],[Watts Active]]*Power_On_Hours_Year/1000)*Active_Duty_Cycle)+((Table5[[#This Row],[Watts Idle]]*Power_On_Hours_Year/1000)*(100%-Active_Duty_Cycle)))*CostPerKWH</f>
        <v>8.2179000000000002</v>
      </c>
      <c r="V11" s="133">
        <f>Table5[Energy$year]/Table5[[#This Row],[SizTB]]</f>
        <v>4.1089500000000001</v>
      </c>
      <c r="W11" s="141">
        <v>146.38</v>
      </c>
      <c r="X11" s="6">
        <f>Table5[[#This Row],[Cost]]/Table5[[#This Row],[SizTB]]*Exchange_Rate</f>
        <v>73.19</v>
      </c>
      <c r="Y11" s="172">
        <f>Table5[[#This Row],[Cost]]+((CompareWarrYrs-Table5[[#This Row],[S]])*(Incremental_Warr_Yr*Table5[[#This Row],[Cost]]))*Exchange_Rate</f>
        <v>146.38</v>
      </c>
      <c r="Z11" s="6">
        <f>Table5[[#This Row],[$+Warr]]/Table5[[#This Row],[SizTB]]</f>
        <v>73.19</v>
      </c>
      <c r="AA11" s="6">
        <f>Table5[[#This Row],[$PerTB]]/CompareWarrYrs</f>
        <v>14.638</v>
      </c>
      <c r="AB11" s="186"/>
      <c r="AC11" s="187"/>
      <c r="AD11" s="44"/>
    </row>
    <row r="12" spans="1:30" x14ac:dyDescent="0.25">
      <c r="A12" s="1">
        <v>43053</v>
      </c>
      <c r="B12" t="s">
        <v>15</v>
      </c>
      <c r="C12" s="116" t="s">
        <v>138</v>
      </c>
      <c r="D12" s="31" t="s">
        <v>50</v>
      </c>
      <c r="E12" s="99">
        <v>3.5</v>
      </c>
      <c r="F12" s="85">
        <v>4</v>
      </c>
      <c r="G12" s="46">
        <v>7200</v>
      </c>
      <c r="H12" s="5">
        <v>4.16</v>
      </c>
      <c r="I12" s="5">
        <v>8</v>
      </c>
      <c r="J12" s="65">
        <f>(Table5[[#This Row],[RPM]]/5400-1)</f>
        <v>0.33333333333333326</v>
      </c>
      <c r="K12" s="49">
        <v>192</v>
      </c>
      <c r="L12">
        <v>5</v>
      </c>
      <c r="M12" s="40">
        <v>600000</v>
      </c>
      <c r="O12" s="40">
        <v>2000000</v>
      </c>
      <c r="P12" s="39">
        <v>1000000000000000</v>
      </c>
      <c r="Q12" s="57"/>
      <c r="R12" s="5">
        <v>9.1</v>
      </c>
      <c r="S12" s="5">
        <v>7.1</v>
      </c>
      <c r="T12" s="129"/>
      <c r="U12" s="133">
        <f>(((Table5[[#This Row],[Watts Active]]*Power_On_Hours_Year/1000)*Active_Duty_Cycle)+((Table5[[#This Row],[Watts Idle]]*Power_On_Hours_Year/1000)*(100%-Active_Duty_Cycle)))*CostPerKWH</f>
        <v>8.2179000000000002</v>
      </c>
      <c r="V12" s="133">
        <f>Table5[Energy$year]/Table5[[#This Row],[SizTB]]</f>
        <v>2.0544750000000001</v>
      </c>
      <c r="W12" s="141">
        <v>194.85</v>
      </c>
      <c r="X12" s="6">
        <f>Table5[[#This Row],[Cost]]/Table5[[#This Row],[SizTB]]*Exchange_Rate</f>
        <v>48.712499999999999</v>
      </c>
      <c r="Y12" s="172">
        <f>Table5[[#This Row],[Cost]]+((CompareWarrYrs-Table5[[#This Row],[S]])*(Incremental_Warr_Yr*Table5[[#This Row],[Cost]]))*Exchange_Rate</f>
        <v>194.85</v>
      </c>
      <c r="Z12" s="6">
        <f>Table5[[#This Row],[$+Warr]]/Table5[[#This Row],[SizTB]]</f>
        <v>48.712499999999999</v>
      </c>
      <c r="AA12" s="6">
        <f>Table5[[#This Row],[$PerTB]]/CompareWarrYrs</f>
        <v>9.7424999999999997</v>
      </c>
      <c r="AB12" s="186"/>
      <c r="AC12" s="187"/>
      <c r="AD12" s="44"/>
    </row>
    <row r="13" spans="1:30" x14ac:dyDescent="0.25">
      <c r="A13" s="1">
        <v>43053</v>
      </c>
      <c r="B13" t="s">
        <v>15</v>
      </c>
      <c r="C13" s="116" t="s">
        <v>138</v>
      </c>
      <c r="D13" s="31" t="s">
        <v>50</v>
      </c>
      <c r="E13" s="99">
        <v>3.5</v>
      </c>
      <c r="F13" s="85">
        <v>5</v>
      </c>
      <c r="G13" s="46">
        <v>7200</v>
      </c>
      <c r="H13" s="5">
        <v>4.16</v>
      </c>
      <c r="I13" s="5">
        <v>8</v>
      </c>
      <c r="J13" s="65">
        <f>(Table5[[#This Row],[RPM]]/5400-1)</f>
        <v>0.33333333333333326</v>
      </c>
      <c r="K13" s="49">
        <v>192</v>
      </c>
      <c r="L13">
        <v>5</v>
      </c>
      <c r="M13" s="40">
        <v>600000</v>
      </c>
      <c r="O13" s="40">
        <v>2000000</v>
      </c>
      <c r="P13" s="39">
        <v>1000000000000000</v>
      </c>
      <c r="Q13" s="57"/>
      <c r="R13" s="5">
        <v>9.1</v>
      </c>
      <c r="S13" s="5">
        <v>7.1</v>
      </c>
      <c r="T13" s="129"/>
      <c r="U13" s="133">
        <f>(((Table5[[#This Row],[Watts Active]]*Power_On_Hours_Year/1000)*Active_Duty_Cycle)+((Table5[[#This Row],[Watts Idle]]*Power_On_Hours_Year/1000)*(100%-Active_Duty_Cycle)))*CostPerKWH</f>
        <v>8.2179000000000002</v>
      </c>
      <c r="V13" s="133">
        <f>Table5[Energy$year]/Table5[[#This Row],[SizTB]]</f>
        <v>1.64358</v>
      </c>
      <c r="W13" s="141">
        <v>281.95999999999998</v>
      </c>
      <c r="X13" s="6">
        <f>Table5[[#This Row],[Cost]]/Table5[[#This Row],[SizTB]]*Exchange_Rate</f>
        <v>56.391999999999996</v>
      </c>
      <c r="Y13" s="172">
        <f>Table5[[#This Row],[Cost]]+((CompareWarrYrs-Table5[[#This Row],[S]])*(Incremental_Warr_Yr*Table5[[#This Row],[Cost]]))*Exchange_Rate</f>
        <v>281.95999999999998</v>
      </c>
      <c r="Z13" s="6">
        <f>Table5[[#This Row],[$+Warr]]/Table5[[#This Row],[SizTB]]</f>
        <v>56.391999999999996</v>
      </c>
      <c r="AA13" s="6">
        <f>Table5[[#This Row],[$PerTB]]/CompareWarrYrs</f>
        <v>11.2784</v>
      </c>
      <c r="AB13" s="186"/>
      <c r="AC13" s="187"/>
      <c r="AD13" s="44"/>
    </row>
    <row r="14" spans="1:30" x14ac:dyDescent="0.25">
      <c r="A14" s="1">
        <v>43053</v>
      </c>
      <c r="B14" t="s">
        <v>15</v>
      </c>
      <c r="C14" s="116" t="s">
        <v>138</v>
      </c>
      <c r="D14" s="31" t="s">
        <v>50</v>
      </c>
      <c r="E14" s="99">
        <v>3.5</v>
      </c>
      <c r="F14" s="85">
        <v>6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216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29"/>
      <c r="U14" s="133">
        <f>(((Table5[[#This Row],[Watts Active]]*Power_On_Hours_Year/1000)*Active_Duty_Cycle)+((Table5[[#This Row],[Watts Idle]]*Power_On_Hours_Year/1000)*(100%-Active_Duty_Cycle)))*CostPerKWH</f>
        <v>8.2179000000000002</v>
      </c>
      <c r="V14" s="133">
        <f>Table5[Energy$year]/Table5[[#This Row],[SizTB]]</f>
        <v>1.36965</v>
      </c>
      <c r="W14" s="141">
        <v>257.62</v>
      </c>
      <c r="X14" s="6">
        <f>Table5[[#This Row],[Cost]]/Table5[[#This Row],[SizTB]]*Exchange_Rate</f>
        <v>42.936666666666667</v>
      </c>
      <c r="Y14" s="172">
        <f>Table5[[#This Row],[Cost]]+((CompareWarrYrs-Table5[[#This Row],[S]])*(Incremental_Warr_Yr*Table5[[#This Row],[Cost]]))*Exchange_Rate</f>
        <v>257.62</v>
      </c>
      <c r="Z14" s="6">
        <f>Table5[[#This Row],[$+Warr]]/Table5[[#This Row],[SizTB]]</f>
        <v>42.936666666666667</v>
      </c>
      <c r="AA14" s="6">
        <f>Table5[[#This Row],[$PerTB]]/CompareWarrYrs</f>
        <v>8.5873333333333335</v>
      </c>
      <c r="AB14" s="186"/>
      <c r="AC14" s="187"/>
      <c r="AD14" s="44"/>
    </row>
    <row r="15" spans="1:30" x14ac:dyDescent="0.25">
      <c r="A15" s="1">
        <v>43033</v>
      </c>
      <c r="B15" t="s">
        <v>15</v>
      </c>
      <c r="C15" s="116" t="s">
        <v>122</v>
      </c>
      <c r="D15" s="31" t="s">
        <v>112</v>
      </c>
      <c r="E15" s="99">
        <v>3.5</v>
      </c>
      <c r="F15" s="85">
        <v>8</v>
      </c>
      <c r="G15" s="46">
        <v>7200</v>
      </c>
      <c r="H15" s="5">
        <v>4.16</v>
      </c>
      <c r="I15" s="5">
        <v>8.5</v>
      </c>
      <c r="J15" s="65">
        <f>(Table5[[#This Row],[RPM]]/5400-1)</f>
        <v>0.33333333333333326</v>
      </c>
      <c r="K15" s="49">
        <v>157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7.6</v>
      </c>
      <c r="S15" s="5">
        <v>5.0999999999999996</v>
      </c>
      <c r="T15" s="129"/>
      <c r="U15" s="133">
        <f>(((Table5[[#This Row],[Watts Active]]*Power_On_Hours_Year/1000)*Active_Duty_Cycle)+((Table5[[#This Row],[Watts Idle]]*Power_On_Hours_Year/1000)*(100%-Active_Duty_Cycle)))*CostPerKWH</f>
        <v>6.1360319999999993</v>
      </c>
      <c r="V15" s="133">
        <f>Table5[Energy$year]/Table5[[#This Row],[SizTB]]</f>
        <v>0.76700399999999991</v>
      </c>
      <c r="W15" s="140">
        <v>373</v>
      </c>
      <c r="X15" s="6">
        <f>Table5[[#This Row],[Cost]]/Table5[[#This Row],[SizTB]]*Exchange_Rate</f>
        <v>46.625</v>
      </c>
      <c r="Y15" s="172">
        <f>Table5[[#This Row],[Cost]]+((CompareWarrYrs-Table5[[#This Row],[S]])*(Incremental_Warr_Yr*Table5[[#This Row],[Cost]]))*Exchange_Rate</f>
        <v>373</v>
      </c>
      <c r="Z15" s="6">
        <f>Table5[[#This Row],[$+Warr]]/Table5[[#This Row],[SizTB]]</f>
        <v>46.625</v>
      </c>
      <c r="AA15" s="6">
        <f>Table5[[#This Row],[$PerTB]]/CompareWarrYrs</f>
        <v>9.3249999999999993</v>
      </c>
      <c r="AB15" s="186"/>
      <c r="AC15" s="187"/>
      <c r="AD15" s="123" t="s">
        <v>98</v>
      </c>
    </row>
    <row r="16" spans="1:30" x14ac:dyDescent="0.25">
      <c r="A16" s="1">
        <v>43047</v>
      </c>
      <c r="B16" t="s">
        <v>15</v>
      </c>
      <c r="C16" s="116" t="s">
        <v>99</v>
      </c>
      <c r="D16" s="114" t="s">
        <v>50</v>
      </c>
      <c r="E16" s="99">
        <v>2.5</v>
      </c>
      <c r="F16" s="85">
        <v>1.2</v>
      </c>
      <c r="G16" s="46">
        <v>10520</v>
      </c>
      <c r="H16" s="5">
        <v>2.85</v>
      </c>
      <c r="I16" s="5">
        <v>4.4000000000000004</v>
      </c>
      <c r="J16" s="65">
        <f>(Table5[[#This Row],[RPM]]/5400-1)</f>
        <v>0.94814814814814818</v>
      </c>
      <c r="K16" s="49">
        <v>224</v>
      </c>
      <c r="L16">
        <v>5</v>
      </c>
      <c r="M16" s="40"/>
      <c r="O16" s="40">
        <v>2000000</v>
      </c>
      <c r="P16" s="39">
        <v>1E+16</v>
      </c>
      <c r="Q16" s="57"/>
      <c r="R16" s="5">
        <v>6.5</v>
      </c>
      <c r="S16" s="5">
        <v>4.7</v>
      </c>
      <c r="T16" s="129"/>
      <c r="U16" s="133">
        <f>(((Table5[[#This Row],[Watts Active]]*Power_On_Hours_Year/1000)*Active_Duty_Cycle)+((Table5[[#This Row],[Watts Idle]]*Power_On_Hours_Year/1000)*(100%-Active_Duty_Cycle)))*CostPerKWH</f>
        <v>5.5443432000000001</v>
      </c>
      <c r="V16" s="133">
        <f>Table5[Energy$year]/Table5[[#This Row],[SizTB]]</f>
        <v>4.6202860000000001</v>
      </c>
      <c r="W16" s="141">
        <v>170</v>
      </c>
      <c r="X16" s="6">
        <f>Table5[[#This Row],[Cost]]/Table5[[#This Row],[SizTB]]*Exchange_Rate</f>
        <v>141.66666666666669</v>
      </c>
      <c r="Y16" s="172">
        <f>Table5[[#This Row],[Cost]]+((CompareWarrYrs-Table5[[#This Row],[S]])*(Incremental_Warr_Yr*Table5[[#This Row],[Cost]]))*Exchange_Rate</f>
        <v>170</v>
      </c>
      <c r="Z16" s="6">
        <f>Table5[[#This Row],[$+Warr]]/Table5[[#This Row],[SizTB]]</f>
        <v>141.66666666666669</v>
      </c>
      <c r="AA16" s="6">
        <f>Table5[[#This Row],[$PerTB]]/CompareWarrYrs</f>
        <v>28.333333333333336</v>
      </c>
      <c r="AB16" s="186"/>
      <c r="AC16" s="187"/>
      <c r="AD16" s="44"/>
    </row>
    <row r="17" spans="1:30" x14ac:dyDescent="0.25">
      <c r="A17" s="1">
        <v>43047</v>
      </c>
      <c r="B17" t="s">
        <v>15</v>
      </c>
      <c r="C17" s="116" t="s">
        <v>88</v>
      </c>
      <c r="D17" s="114" t="s">
        <v>50</v>
      </c>
      <c r="E17" s="99">
        <v>2.5</v>
      </c>
      <c r="F17" s="85">
        <v>1.8</v>
      </c>
      <c r="G17" s="46">
        <v>10520</v>
      </c>
      <c r="H17" s="5">
        <v>2.85</v>
      </c>
      <c r="I17" s="5">
        <v>4.4000000000000004</v>
      </c>
      <c r="J17" s="65">
        <f>(Table5[[#This Row],[RPM]]/5400-1)</f>
        <v>0.94814814814814818</v>
      </c>
      <c r="K17" s="49">
        <v>224</v>
      </c>
      <c r="L17">
        <v>5</v>
      </c>
      <c r="M17" s="40"/>
      <c r="O17" s="40">
        <v>2000000</v>
      </c>
      <c r="P17" s="39">
        <v>1E+16</v>
      </c>
      <c r="Q17" s="57"/>
      <c r="R17" s="5">
        <v>6.6</v>
      </c>
      <c r="S17" s="5">
        <v>4.7</v>
      </c>
      <c r="T17" s="129"/>
      <c r="U17" s="133">
        <f>(((Table5[[#This Row],[Watts Active]]*Power_On_Hours_Year/1000)*Active_Duty_Cycle)+((Table5[[#This Row],[Watts Idle]]*Power_On_Hours_Year/1000)*(100%-Active_Duty_Cycle)))*CostPerKWH</f>
        <v>5.5662576000000001</v>
      </c>
      <c r="V17" s="133">
        <f>Table5[Energy$year]/Table5[[#This Row],[SizTB]]</f>
        <v>3.0923653333333334</v>
      </c>
      <c r="W17" s="141">
        <v>229.99</v>
      </c>
      <c r="X17" s="6">
        <f>Table5[[#This Row],[Cost]]/Table5[[#This Row],[SizTB]]*Exchange_Rate</f>
        <v>127.77222222222223</v>
      </c>
      <c r="Y17" s="172">
        <f>Table5[[#This Row],[Cost]]+((CompareWarrYrs-Table5[[#This Row],[S]])*(Incremental_Warr_Yr*Table5[[#This Row],[Cost]]))*Exchange_Rate</f>
        <v>229.99</v>
      </c>
      <c r="Z17" s="6">
        <f>Table5[[#This Row],[$+Warr]]/Table5[[#This Row],[SizTB]]</f>
        <v>127.77222222222223</v>
      </c>
      <c r="AA17" s="6">
        <f>Table5[[#This Row],[$PerTB]]/CompareWarrYrs</f>
        <v>25.554444444444446</v>
      </c>
      <c r="AB17" s="186"/>
      <c r="AC17" s="187"/>
      <c r="AD17" s="44"/>
    </row>
    <row r="18" spans="1:30" x14ac:dyDescent="0.25">
      <c r="A18" s="1">
        <v>43050</v>
      </c>
      <c r="B18" t="s">
        <v>15</v>
      </c>
      <c r="C18" s="116" t="s">
        <v>89</v>
      </c>
      <c r="D18" s="114" t="s">
        <v>50</v>
      </c>
      <c r="E18" s="99">
        <v>2.5</v>
      </c>
      <c r="F18" s="85">
        <v>0.6</v>
      </c>
      <c r="G18" s="46">
        <v>15030</v>
      </c>
      <c r="H18" s="5">
        <v>1.99</v>
      </c>
      <c r="I18" s="5">
        <v>3.1</v>
      </c>
      <c r="J18" s="65">
        <f>(Table5[[#This Row],[RPM]]/5400-1)</f>
        <v>1.7833333333333332</v>
      </c>
      <c r="K18" s="49">
        <v>250</v>
      </c>
      <c r="L18">
        <v>5</v>
      </c>
      <c r="M18" s="40"/>
      <c r="O18" s="40">
        <v>2000000</v>
      </c>
      <c r="P18" s="39">
        <v>1E+17</v>
      </c>
      <c r="Q18" s="57"/>
      <c r="R18" s="5">
        <v>7.5</v>
      </c>
      <c r="S18" s="5">
        <v>5.8</v>
      </c>
      <c r="T18" s="129"/>
      <c r="U18" s="133">
        <f>(((Table5[[#This Row],[Watts Active]]*Power_On_Hours_Year/1000)*Active_Duty_Cycle)+((Table5[[#This Row],[Watts Idle]]*Power_On_Hours_Year/1000)*(100%-Active_Duty_Cycle)))*CostPerKWH</f>
        <v>6.7277208000000002</v>
      </c>
      <c r="V18" s="133">
        <f>Table5[Energy$year]/Table5[[#This Row],[SizTB]]</f>
        <v>11.212868</v>
      </c>
      <c r="W18" s="141">
        <v>189.95</v>
      </c>
      <c r="X18" s="6">
        <f>Table5[[#This Row],[Cost]]/Table5[[#This Row],[SizTB]]*Exchange_Rate</f>
        <v>316.58333333333331</v>
      </c>
      <c r="Y18" s="172">
        <f>Table5[[#This Row],[Cost]]+((CompareWarrYrs-Table5[[#This Row],[S]])*(Incremental_Warr_Yr*Table5[[#This Row],[Cost]]))*Exchange_Rate</f>
        <v>189.95</v>
      </c>
      <c r="Z18" s="6">
        <f>Table5[[#This Row],[$+Warr]]/Table5[[#This Row],[SizTB]]</f>
        <v>316.58333333333331</v>
      </c>
      <c r="AA18" s="6">
        <f>Table5[[#This Row],[$PerTB]]/CompareWarrYrs</f>
        <v>63.316666666666663</v>
      </c>
      <c r="AB18" s="186"/>
      <c r="AC18" s="187"/>
      <c r="AD18" s="123" t="s">
        <v>126</v>
      </c>
    </row>
    <row r="19" spans="1:30" x14ac:dyDescent="0.25">
      <c r="A19" s="1">
        <v>43019</v>
      </c>
      <c r="B19" t="s">
        <v>15</v>
      </c>
      <c r="C19" s="116" t="s">
        <v>123</v>
      </c>
      <c r="D19" s="31" t="s">
        <v>50</v>
      </c>
      <c r="E19" s="99">
        <v>3.5</v>
      </c>
      <c r="F19" s="85">
        <v>6</v>
      </c>
      <c r="G19" s="46">
        <v>7200</v>
      </c>
      <c r="H19" s="5">
        <v>4.16</v>
      </c>
      <c r="I19" s="5">
        <v>9</v>
      </c>
      <c r="J19" s="65">
        <f>(Table5[[#This Row],[RPM]]/5400-1)</f>
        <v>0.33333333333333326</v>
      </c>
      <c r="K19" s="49">
        <v>195</v>
      </c>
      <c r="L19">
        <v>5</v>
      </c>
      <c r="M19" s="40">
        <v>600000</v>
      </c>
      <c r="N19">
        <v>550</v>
      </c>
      <c r="O19" s="40">
        <v>2500000</v>
      </c>
      <c r="P19" s="39">
        <v>1000000000000000</v>
      </c>
      <c r="Q19" s="57"/>
      <c r="R19" s="5">
        <v>7.4</v>
      </c>
      <c r="S19" s="5">
        <v>5.0999999999999996</v>
      </c>
      <c r="T19" s="129"/>
      <c r="U19" s="133">
        <f>(((Table5[[#This Row],[Watts Active]]*Power_On_Hours_Year/1000)*Active_Duty_Cycle)+((Table5[[#This Row],[Watts Idle]]*Power_On_Hours_Year/1000)*(100%-Active_Duty_Cycle)))*CostPerKWH</f>
        <v>6.0922031999999993</v>
      </c>
      <c r="V19" s="133">
        <f>Table5[Energy$year]/Table5[[#This Row],[SizTB]]</f>
        <v>1.0153671999999998</v>
      </c>
      <c r="W19" s="141">
        <v>169.99</v>
      </c>
      <c r="X19" s="6">
        <f>Table5[[#This Row],[Cost]]/Table5[[#This Row],[SizTB]]*Exchange_Rate</f>
        <v>28.331666666666667</v>
      </c>
      <c r="Y19" s="172">
        <f>Table5[[#This Row],[Cost]]+((CompareWarrYrs-Table5[[#This Row],[S]])*(Incremental_Warr_Yr*Table5[[#This Row],[Cost]]))*Exchange_Rate</f>
        <v>169.99</v>
      </c>
      <c r="Z19" s="6">
        <f>Table5[[#This Row],[$+Warr]]/Table5[[#This Row],[SizTB]]</f>
        <v>28.331666666666667</v>
      </c>
      <c r="AA19" s="6">
        <f>Table5[[#This Row],[$PerTB]]/CompareWarrYrs</f>
        <v>5.6663333333333332</v>
      </c>
      <c r="AB19" s="186"/>
      <c r="AC19" s="187"/>
      <c r="AD19" s="123" t="s">
        <v>38</v>
      </c>
    </row>
    <row r="20" spans="1:30" ht="17.25" x14ac:dyDescent="0.25">
      <c r="A20" s="1">
        <v>43094</v>
      </c>
      <c r="B20" t="s">
        <v>15</v>
      </c>
      <c r="C20" s="88" t="s">
        <v>80</v>
      </c>
      <c r="D20" s="31" t="s">
        <v>50</v>
      </c>
      <c r="E20" s="99">
        <v>3.5</v>
      </c>
      <c r="F20" s="85">
        <v>8</v>
      </c>
      <c r="G20" s="46">
        <v>7200</v>
      </c>
      <c r="H20" s="5">
        <v>4.16</v>
      </c>
      <c r="I20" s="5">
        <v>8.5</v>
      </c>
      <c r="J20" s="65">
        <f>(Table5[[#This Row],[RPM]]/5400-1)</f>
        <v>0.33333333333333326</v>
      </c>
      <c r="K20" s="49">
        <v>237</v>
      </c>
      <c r="L20">
        <v>5</v>
      </c>
      <c r="M20" s="40">
        <v>600000</v>
      </c>
      <c r="N20">
        <v>550</v>
      </c>
      <c r="O20" s="40">
        <v>2500000</v>
      </c>
      <c r="P20" s="39">
        <v>1000000000000000</v>
      </c>
      <c r="Q20" s="57"/>
      <c r="R20" s="5">
        <v>7.4</v>
      </c>
      <c r="S20" s="5">
        <v>5.0999999999999996</v>
      </c>
      <c r="T20" s="129"/>
      <c r="U20" s="133">
        <f>(((Table5[[#This Row],[Watts Active]]*Power_On_Hours_Year/1000)*Active_Duty_Cycle)+((Table5[[#This Row],[Watts Idle]]*Power_On_Hours_Year/1000)*(100%-Active_Duty_Cycle)))*CostPerKWH</f>
        <v>6.0922031999999993</v>
      </c>
      <c r="V20" s="133">
        <f>Table5[Energy$year]/Table5[[#This Row],[SizTB]]</f>
        <v>0.76152539999999991</v>
      </c>
      <c r="W20" s="141">
        <v>199.99</v>
      </c>
      <c r="X20" s="6">
        <f>Table5[[#This Row],[Cost]]/Table5[[#This Row],[SizTB]]*Exchange_Rate</f>
        <v>24.998750000000001</v>
      </c>
      <c r="Y20" s="172">
        <f>Table5[[#This Row],[Cost]]+((CompareWarrYrs-Table5[[#This Row],[S]])*(Incremental_Warr_Yr*Table5[[#This Row],[Cost]]))*Exchange_Rate</f>
        <v>199.99</v>
      </c>
      <c r="Z20" s="6">
        <f>Table5[[#This Row],[$+Warr]]/Table5[[#This Row],[SizTB]]</f>
        <v>24.998750000000001</v>
      </c>
      <c r="AA20" s="6">
        <f>Table5[[#This Row],[$PerTB]]/CompareWarrYrs</f>
        <v>4.9997500000000006</v>
      </c>
      <c r="AB20" s="186"/>
      <c r="AC20" s="187"/>
      <c r="AD20" s="123" t="s">
        <v>125</v>
      </c>
    </row>
    <row r="21" spans="1:30" ht="17.25" x14ac:dyDescent="0.25">
      <c r="A21" s="1">
        <v>43066</v>
      </c>
      <c r="B21" t="s">
        <v>15</v>
      </c>
      <c r="C21" s="116" t="s">
        <v>114</v>
      </c>
      <c r="D21" s="31" t="s">
        <v>50</v>
      </c>
      <c r="E21" s="99">
        <v>3.5</v>
      </c>
      <c r="F21" s="85">
        <v>10</v>
      </c>
      <c r="G21" s="46">
        <v>7200</v>
      </c>
      <c r="H21" s="5">
        <v>4.16</v>
      </c>
      <c r="I21" s="5">
        <v>8</v>
      </c>
      <c r="J21" s="65">
        <f>(Table5[[#This Row],[RPM]]/5400-1)</f>
        <v>0.33333333333333326</v>
      </c>
      <c r="K21" s="49">
        <v>237</v>
      </c>
      <c r="L21">
        <v>5</v>
      </c>
      <c r="M21" s="40">
        <v>600000</v>
      </c>
      <c r="N21">
        <v>550</v>
      </c>
      <c r="O21" s="40">
        <v>2500000</v>
      </c>
      <c r="P21" s="39">
        <v>1000000000000000</v>
      </c>
      <c r="Q21" s="57"/>
      <c r="R21" s="5">
        <v>6.8</v>
      </c>
      <c r="S21" s="5">
        <v>5</v>
      </c>
      <c r="T21" s="129"/>
      <c r="U21" s="133">
        <f>(((Table5[[#This Row],[Watts Active]]*Power_On_Hours_Year/1000)*Active_Duty_Cycle)+((Table5[[#This Row],[Watts Idle]]*Power_On_Hours_Year/1000)*(100%-Active_Duty_Cycle)))*CostPerKWH</f>
        <v>5.8730592000000001</v>
      </c>
      <c r="V21" s="168">
        <f>Table5[Energy$year]/Table5[[#This Row],[SizTB]]</f>
        <v>0.58730592000000004</v>
      </c>
      <c r="W21" s="167">
        <v>369.99</v>
      </c>
      <c r="X21" s="6">
        <f>Table5[[#This Row],[Cost]]/Table5[[#This Row],[SizTB]]*Exchange_Rate</f>
        <v>36.999000000000002</v>
      </c>
      <c r="Y21" s="172">
        <f>Table5[[#This Row],[Cost]]+((CompareWarrYrs-Table5[[#This Row],[S]])*(Incremental_Warr_Yr*Table5[[#This Row],[Cost]]))*Exchange_Rate</f>
        <v>369.99</v>
      </c>
      <c r="Z21" s="6">
        <f>Table5[[#This Row],[$+Warr]]/Table5[[#This Row],[SizTB]]</f>
        <v>36.999000000000002</v>
      </c>
      <c r="AA21" s="6">
        <f>Table5[[#This Row],[$PerTB]]/CompareWarrYrs</f>
        <v>7.3998000000000008</v>
      </c>
      <c r="AB21" s="186"/>
      <c r="AC21" s="187"/>
      <c r="AD21" s="123" t="s">
        <v>38</v>
      </c>
    </row>
    <row r="22" spans="1:30" ht="17.25" x14ac:dyDescent="0.25">
      <c r="A22" s="1">
        <v>43066</v>
      </c>
      <c r="B22" t="s">
        <v>15</v>
      </c>
      <c r="C22" s="116" t="s">
        <v>113</v>
      </c>
      <c r="D22" s="112" t="s">
        <v>50</v>
      </c>
      <c r="E22" s="99">
        <v>3.5</v>
      </c>
      <c r="F22" s="85">
        <v>12</v>
      </c>
      <c r="G22" s="46">
        <v>7200</v>
      </c>
      <c r="H22" s="5">
        <v>4.16</v>
      </c>
      <c r="I22" s="5">
        <v>8.6</v>
      </c>
      <c r="J22" s="65">
        <f>(Table5[[#This Row],[RPM]]/5400-1)</f>
        <v>0.33333333333333326</v>
      </c>
      <c r="K22" s="49">
        <v>243</v>
      </c>
      <c r="L22">
        <v>5</v>
      </c>
      <c r="M22" s="40">
        <v>600000</v>
      </c>
      <c r="N22">
        <v>550</v>
      </c>
      <c r="O22" s="40">
        <v>2500000</v>
      </c>
      <c r="P22" s="39">
        <v>1000000000000000</v>
      </c>
      <c r="Q22" s="57"/>
      <c r="R22" s="5">
        <v>7.2</v>
      </c>
      <c r="S22" s="5">
        <v>5.3</v>
      </c>
      <c r="T22" s="129"/>
      <c r="U22" s="133">
        <f>(((Table5[[#This Row],[Watts Active]]*Power_On_Hours_Year/1000)*Active_Duty_Cycle)+((Table5[[#This Row],[Watts Idle]]*Power_On_Hours_Year/1000)*(100%-Active_Duty_Cycle)))*CostPerKWH</f>
        <v>6.2236896000000002</v>
      </c>
      <c r="V22" s="168">
        <f>Table5[Energy$year]/Table5[[#This Row],[SizTB]]</f>
        <v>0.51864080000000001</v>
      </c>
      <c r="W22" s="167">
        <v>730</v>
      </c>
      <c r="X22" s="6">
        <f>Table5[[#This Row],[Cost]]/Table5[[#This Row],[SizTB]]*Exchange_Rate</f>
        <v>60.833333333333336</v>
      </c>
      <c r="Y22" s="172">
        <f>Table5[[#This Row],[Cost]]+((CompareWarrYrs-Table5[[#This Row],[S]])*(Incremental_Warr_Yr*Table5[[#This Row],[Cost]]))*Exchange_Rate</f>
        <v>730</v>
      </c>
      <c r="Z22" s="6">
        <f>Table5[[#This Row],[$+Warr]]/Table5[[#This Row],[SizTB]]</f>
        <v>60.833333333333336</v>
      </c>
      <c r="AA22" s="6">
        <f>Table5[[#This Row],[$PerTB]]/CompareWarrYrs</f>
        <v>12.166666666666668</v>
      </c>
      <c r="AB22" s="186"/>
      <c r="AC22" s="187"/>
      <c r="AD22" s="123" t="s">
        <v>38</v>
      </c>
    </row>
    <row r="23" spans="1:30" ht="18" thickBot="1" x14ac:dyDescent="0.3">
      <c r="A23" s="69">
        <v>43021</v>
      </c>
      <c r="B23" s="70" t="s">
        <v>15</v>
      </c>
      <c r="C23" s="115" t="s">
        <v>100</v>
      </c>
      <c r="D23" s="71" t="s">
        <v>112</v>
      </c>
      <c r="E23" s="101">
        <v>3.5</v>
      </c>
      <c r="F23" s="86">
        <v>14</v>
      </c>
      <c r="G23" s="72">
        <v>7200</v>
      </c>
      <c r="H23" s="73">
        <v>4.16</v>
      </c>
      <c r="I23" s="73">
        <v>12</v>
      </c>
      <c r="J23" s="74">
        <f>(Table5[[#This Row],[RPM]]/5400-1)</f>
        <v>0.33333333333333326</v>
      </c>
      <c r="K23" s="75">
        <v>223</v>
      </c>
      <c r="L23" s="70">
        <v>5</v>
      </c>
      <c r="M23" s="76">
        <v>600000</v>
      </c>
      <c r="N23" s="70">
        <v>550</v>
      </c>
      <c r="O23" s="76">
        <v>2500000</v>
      </c>
      <c r="P23" s="77">
        <v>1000000000000000</v>
      </c>
      <c r="Q23" s="164">
        <f>12*1.51+5*0.39</f>
        <v>20.07</v>
      </c>
      <c r="R23" s="73">
        <v>6.4</v>
      </c>
      <c r="S23" s="73">
        <v>5.2</v>
      </c>
      <c r="T23" s="130">
        <v>0.8</v>
      </c>
      <c r="U23" s="135">
        <f>(((Table5[[#This Row],[Watts Active]]*Power_On_Hours_Year/1000)*Active_Duty_Cycle)+((Table5[[#This Row],[Watts Idle]]*Power_On_Hours_Year/1000)*(100%-Active_Duty_Cycle)))*CostPerKWH</f>
        <v>5.960716800000001</v>
      </c>
      <c r="V23" s="169">
        <f>Table5[Energy$year]/Table5[[#This Row],[SizTB]]</f>
        <v>0.4257654857142858</v>
      </c>
      <c r="W23" s="165"/>
      <c r="X23" s="175">
        <f>Table5[[#This Row],[Cost]]/Table5[[#This Row],[SizTB]]*Exchange_Rate</f>
        <v>0</v>
      </c>
      <c r="Y23" s="176">
        <f>Table5[[#This Row],[Cost]]+((CompareWarrYrs-Table5[[#This Row],[S]])*(Incremental_Warr_Yr*Table5[[#This Row],[Cost]]))*Exchange_Rate</f>
        <v>0</v>
      </c>
      <c r="Z23" s="175">
        <f>Table5[[#This Row],[$+Warr]]/Table5[[#This Row],[SizTB]]</f>
        <v>0</v>
      </c>
      <c r="AA23" s="175">
        <f>Table5[[#This Row],[$PerTB]]/CompareWarrYrs</f>
        <v>0</v>
      </c>
      <c r="AB23" s="199"/>
      <c r="AC23" s="200"/>
      <c r="AD23" s="124" t="s">
        <v>98</v>
      </c>
    </row>
    <row r="24" spans="1:30" ht="15.75" thickTop="1" x14ac:dyDescent="0.25">
      <c r="A24" s="125">
        <v>43064</v>
      </c>
      <c r="B24" s="7" t="s">
        <v>10</v>
      </c>
      <c r="C24" s="126" t="s">
        <v>137</v>
      </c>
      <c r="D24" s="100" t="s">
        <v>112</v>
      </c>
      <c r="E24" s="120">
        <v>3.5</v>
      </c>
      <c r="F24" s="163">
        <v>5</v>
      </c>
      <c r="G24" s="46">
        <v>5900</v>
      </c>
      <c r="H24" s="5"/>
      <c r="I24" s="5"/>
      <c r="J24" s="65">
        <f>(Table5[[#This Row],[RPM]]/5400-1)</f>
        <v>9.259259259259256E-2</v>
      </c>
      <c r="K24" s="49">
        <v>180</v>
      </c>
      <c r="L24" s="7">
        <v>3</v>
      </c>
      <c r="M24" s="127">
        <v>300000</v>
      </c>
      <c r="N24" s="7">
        <v>180</v>
      </c>
      <c r="O24" s="127">
        <v>800000</v>
      </c>
      <c r="P24" s="39">
        <f t="shared" ref="P24:P26" si="2">10^14</f>
        <v>100000000000000</v>
      </c>
      <c r="Q24" s="57">
        <v>24</v>
      </c>
      <c r="R24" s="5">
        <v>5.5</v>
      </c>
      <c r="S24" s="5">
        <v>3.5</v>
      </c>
      <c r="T24" s="129">
        <v>0.74</v>
      </c>
      <c r="U24" s="133">
        <f>(((Table5[[#This Row],[Watts Active]]*Power_On_Hours_Year/1000)*Active_Duty_Cycle)+((Table5[[#This Row],[Watts Idle]]*Power_On_Hours_Year/1000)*(100%-Active_Duty_Cycle)))*CostPerKWH</f>
        <v>4.2733080000000001</v>
      </c>
      <c r="V24" s="168">
        <f>Table5[Energy$year]/Table5[[#This Row],[SizTB]]</f>
        <v>0.85466160000000002</v>
      </c>
      <c r="W24" s="167">
        <v>212</v>
      </c>
      <c r="X24" s="177">
        <f>Table5[[#This Row],[Cost]]/Table5[[#This Row],[SizTB]]*Exchange_Rate</f>
        <v>42.4</v>
      </c>
      <c r="Y24" s="172">
        <f>Table5[[#This Row],[Cost]]+((CompareWarrYrs-Table5[[#This Row],[S]])*(Incremental_Warr_Yr*Table5[[#This Row],[Cost]]))*Exchange_Rate</f>
        <v>258.64</v>
      </c>
      <c r="Z24" s="177">
        <f>Table5[[#This Row],[$+Warr]]/Table5[[#This Row],[SizTB]]</f>
        <v>51.727999999999994</v>
      </c>
      <c r="AA24" s="177">
        <f>Table5[[#This Row],[$PerTB]]/CompareWarrYrs</f>
        <v>10.345599999999999</v>
      </c>
      <c r="AB24" s="186"/>
      <c r="AC24" s="187"/>
      <c r="AD24" s="123"/>
    </row>
    <row r="25" spans="1:30" x14ac:dyDescent="0.25">
      <c r="A25" s="125">
        <v>43064</v>
      </c>
      <c r="B25" s="7" t="s">
        <v>10</v>
      </c>
      <c r="C25" s="126" t="s">
        <v>137</v>
      </c>
      <c r="D25" s="100" t="s">
        <v>112</v>
      </c>
      <c r="E25" s="120">
        <v>3.5</v>
      </c>
      <c r="F25" s="163">
        <v>6</v>
      </c>
      <c r="G25" s="46">
        <v>5900</v>
      </c>
      <c r="H25" s="5"/>
      <c r="I25" s="5"/>
      <c r="J25" s="65">
        <f>(Table5[[#This Row],[RPM]]/5400-1)</f>
        <v>9.259259259259256E-2</v>
      </c>
      <c r="K25" s="49">
        <v>190</v>
      </c>
      <c r="L25" s="7">
        <v>3</v>
      </c>
      <c r="M25" s="127">
        <v>300000</v>
      </c>
      <c r="N25" s="7">
        <v>180</v>
      </c>
      <c r="O25" s="127">
        <v>800000</v>
      </c>
      <c r="P25" s="39">
        <f t="shared" si="2"/>
        <v>100000000000000</v>
      </c>
      <c r="Q25" s="57">
        <v>24</v>
      </c>
      <c r="R25" s="5">
        <v>7.5</v>
      </c>
      <c r="S25" s="5">
        <v>5</v>
      </c>
      <c r="T25" s="129">
        <v>0.999</v>
      </c>
      <c r="U25" s="133">
        <f>(((Table5[[#This Row],[Watts Active]]*Power_On_Hours_Year/1000)*Active_Duty_Cycle)+((Table5[[#This Row],[Watts Idle]]*Power_On_Hours_Year/1000)*(100%-Active_Duty_Cycle)))*CostPerKWH</f>
        <v>6.0264600000000002</v>
      </c>
      <c r="V25" s="168">
        <f>Table5[Energy$year]/Table5[[#This Row],[SizTB]]</f>
        <v>1.00441</v>
      </c>
      <c r="W25" s="167">
        <v>194.79</v>
      </c>
      <c r="X25" s="6">
        <f>Table5[[#This Row],[Cost]]/Table5[[#This Row],[SizTB]]*Exchange_Rate</f>
        <v>32.464999999999996</v>
      </c>
      <c r="Y25" s="172">
        <f>Table5[[#This Row],[Cost]]+((CompareWarrYrs-Table5[[#This Row],[S]])*(Incremental_Warr_Yr*Table5[[#This Row],[Cost]]))*Exchange_Rate</f>
        <v>237.6438</v>
      </c>
      <c r="Z25" s="6">
        <f>Table5[[#This Row],[$+Warr]]/Table5[[#This Row],[SizTB]]</f>
        <v>39.607300000000002</v>
      </c>
      <c r="AA25" s="6">
        <f>Table5[[#This Row],[$PerTB]]/CompareWarrYrs</f>
        <v>7.9214600000000006</v>
      </c>
      <c r="AB25" s="186"/>
      <c r="AC25" s="187"/>
      <c r="AD25" s="123"/>
    </row>
    <row r="26" spans="1:30" x14ac:dyDescent="0.25">
      <c r="A26" s="125">
        <v>43066</v>
      </c>
      <c r="B26" s="7" t="s">
        <v>10</v>
      </c>
      <c r="C26" s="126" t="s">
        <v>137</v>
      </c>
      <c r="D26" s="100" t="s">
        <v>112</v>
      </c>
      <c r="E26" s="120">
        <v>3.5</v>
      </c>
      <c r="F26" s="163">
        <v>8</v>
      </c>
      <c r="G26" s="46">
        <v>5900</v>
      </c>
      <c r="H26" s="5">
        <v>5.5</v>
      </c>
      <c r="I26" s="5">
        <v>11.99</v>
      </c>
      <c r="J26" s="65">
        <f>(Table5[[#This Row],[RPM]]/5400-1)</f>
        <v>9.259259259259256E-2</v>
      </c>
      <c r="K26" s="49">
        <v>190</v>
      </c>
      <c r="L26" s="7">
        <v>3</v>
      </c>
      <c r="M26" s="127">
        <v>300000</v>
      </c>
      <c r="N26" s="7">
        <v>180</v>
      </c>
      <c r="O26" s="127">
        <v>800000</v>
      </c>
      <c r="P26" s="39">
        <f t="shared" si="2"/>
        <v>100000000000000</v>
      </c>
      <c r="Q26" s="57">
        <v>24</v>
      </c>
      <c r="R26" s="5">
        <v>7.5</v>
      </c>
      <c r="S26" s="5">
        <v>5</v>
      </c>
      <c r="T26" s="129">
        <v>0.999</v>
      </c>
      <c r="U26" s="133">
        <f>(((Table5[[#This Row],[Watts Active]]*Power_On_Hours_Year/1000)*Active_Duty_Cycle)+((Table5[[#This Row],[Watts Idle]]*Power_On_Hours_Year/1000)*(100%-Active_Duty_Cycle)))*CostPerKWH</f>
        <v>6.0264600000000002</v>
      </c>
      <c r="V26" s="168">
        <f>Table5[Energy$year]/Table5[[#This Row],[SizTB]]</f>
        <v>0.75330750000000002</v>
      </c>
      <c r="W26" s="167">
        <v>221.88</v>
      </c>
      <c r="X26" s="6">
        <f>Table5[[#This Row],[Cost]]/Table5[[#This Row],[SizTB]]*Exchange_Rate</f>
        <v>27.734999999999999</v>
      </c>
      <c r="Y26" s="172">
        <f>Table5[[#This Row],[Cost]]+((CompareWarrYrs-Table5[[#This Row],[S]])*(Incremental_Warr_Yr*Table5[[#This Row],[Cost]]))*Exchange_Rate</f>
        <v>270.6936</v>
      </c>
      <c r="Z26" s="6">
        <f>Table5[[#This Row],[$+Warr]]/Table5[[#This Row],[SizTB]]</f>
        <v>33.8367</v>
      </c>
      <c r="AA26" s="6">
        <f>Table5[[#This Row],[$PerTB]]/CompareWarrYrs</f>
        <v>6.7673399999999999</v>
      </c>
      <c r="AB26" s="186"/>
      <c r="AC26" s="187"/>
      <c r="AD26" s="123"/>
    </row>
    <row r="27" spans="1:30" x14ac:dyDescent="0.25">
      <c r="A27" s="1">
        <v>43069</v>
      </c>
      <c r="B27" t="s">
        <v>10</v>
      </c>
      <c r="C27" s="116" t="s">
        <v>11</v>
      </c>
      <c r="D27" s="31" t="s">
        <v>130</v>
      </c>
      <c r="E27" s="99">
        <v>3.5</v>
      </c>
      <c r="F27" s="85">
        <v>1</v>
      </c>
      <c r="G27" s="46">
        <v>7200</v>
      </c>
      <c r="H27" s="5">
        <v>4.16</v>
      </c>
      <c r="I27" s="5">
        <v>9.5</v>
      </c>
      <c r="J27" s="65">
        <f>(Table5[[#This Row],[RPM]]/5400-1)</f>
        <v>0.33333333333333326</v>
      </c>
      <c r="K27" s="49">
        <v>156</v>
      </c>
      <c r="L27">
        <v>2</v>
      </c>
      <c r="M27" s="40">
        <v>300000</v>
      </c>
      <c r="N27">
        <v>55</v>
      </c>
      <c r="O27" s="40"/>
      <c r="P27" s="39">
        <f t="shared" ref="P27:P35" si="3">10^14</f>
        <v>100000000000000</v>
      </c>
      <c r="Q27" s="57">
        <v>24</v>
      </c>
      <c r="R27" s="5">
        <v>5.3</v>
      </c>
      <c r="S27" s="5">
        <v>4.5999999999999996</v>
      </c>
      <c r="T27" s="129">
        <v>0.94</v>
      </c>
      <c r="U27" s="133">
        <f>(((Table5[[#This Row],[Watts Active]]*Power_On_Hours_Year/1000)*Active_Duty_Cycle)+((Table5[[#This Row],[Watts Idle]]*Power_On_Hours_Year/1000)*(100%-Active_Duty_Cycle)))*CostPerKWH</f>
        <v>5.1937128000000001</v>
      </c>
      <c r="V27" s="168">
        <f>Table5[Energy$year]/Table5[[#This Row],[SizTB]]</f>
        <v>5.1937128000000001</v>
      </c>
      <c r="W27" s="167">
        <v>42.49</v>
      </c>
      <c r="X27" s="6">
        <f>Table5[[#This Row],[Cost]]/Table5[[#This Row],[SizTB]]*Exchange_Rate</f>
        <v>42.49</v>
      </c>
      <c r="Y27" s="172">
        <f>Table5[[#This Row],[Cost]]+((CompareWarrYrs-Table5[[#This Row],[S]])*(Incremental_Warr_Yr*Table5[[#This Row],[Cost]]))*Exchange_Rate</f>
        <v>56.511700000000005</v>
      </c>
      <c r="Z27" s="6">
        <f>Table5[[#This Row],[$+Warr]]/Table5[[#This Row],[SizTB]]</f>
        <v>56.511700000000005</v>
      </c>
      <c r="AA27" s="6">
        <f>Table5[[#This Row],[$PerTB]]/CompareWarrYrs</f>
        <v>11.302340000000001</v>
      </c>
      <c r="AB27" s="186"/>
      <c r="AC27" s="187"/>
      <c r="AD27" s="44"/>
    </row>
    <row r="28" spans="1:30" x14ac:dyDescent="0.25">
      <c r="A28" s="1">
        <v>43065</v>
      </c>
      <c r="B28" t="s">
        <v>10</v>
      </c>
      <c r="C28" s="116" t="s">
        <v>11</v>
      </c>
      <c r="D28" s="128" t="s">
        <v>130</v>
      </c>
      <c r="E28" s="99">
        <v>3.5</v>
      </c>
      <c r="F28" s="85">
        <v>2</v>
      </c>
      <c r="G28" s="46">
        <v>7200</v>
      </c>
      <c r="H28" s="5">
        <v>6</v>
      </c>
      <c r="I28" s="5">
        <v>9.5</v>
      </c>
      <c r="J28" s="65">
        <f>(Table5[[#This Row],[RPM]]/5400-1)</f>
        <v>0.33333333333333326</v>
      </c>
      <c r="K28" s="49">
        <v>156</v>
      </c>
      <c r="L28">
        <v>2</v>
      </c>
      <c r="M28" s="40">
        <v>300000</v>
      </c>
      <c r="N28">
        <v>55</v>
      </c>
      <c r="O28" s="40"/>
      <c r="P28" s="39">
        <f t="shared" si="3"/>
        <v>100000000000000</v>
      </c>
      <c r="Q28" s="57">
        <f>2.5*12</f>
        <v>30</v>
      </c>
      <c r="R28" s="5">
        <v>8</v>
      </c>
      <c r="S28" s="5">
        <v>5.4</v>
      </c>
      <c r="T28" s="129">
        <v>0.75</v>
      </c>
      <c r="U28" s="133">
        <f>(((Table5[[#This Row],[Watts Active]]*Power_On_Hours_Year/1000)*Active_Duty_Cycle)+((Table5[[#This Row],[Watts Idle]]*Power_On_Hours_Year/1000)*(100%-Active_Duty_Cycle)))*CostPerKWH</f>
        <v>6.486662400000001</v>
      </c>
      <c r="V28" s="168">
        <f>Table5[Energy$year]/Table5[[#This Row],[SizTB]]</f>
        <v>3.2433312000000005</v>
      </c>
      <c r="W28" s="167">
        <v>66.989999999999995</v>
      </c>
      <c r="X28" s="6">
        <f>Table5[[#This Row],[Cost]]/Table5[[#This Row],[SizTB]]*Exchange_Rate</f>
        <v>33.494999999999997</v>
      </c>
      <c r="Y28" s="172">
        <f>Table5[[#This Row],[Cost]]+((CompareWarrYrs-Table5[[#This Row],[S]])*(Incremental_Warr_Yr*Table5[[#This Row],[Cost]]))*Exchange_Rate</f>
        <v>89.096699999999998</v>
      </c>
      <c r="Z28" s="6">
        <f>Table5[[#This Row],[$+Warr]]/Table5[[#This Row],[SizTB]]</f>
        <v>44.548349999999999</v>
      </c>
      <c r="AA28" s="6">
        <f>Table5[[#This Row],[$PerTB]]/CompareWarrYrs</f>
        <v>8.9096700000000002</v>
      </c>
      <c r="AB28" s="186"/>
      <c r="AC28" s="187"/>
      <c r="AD28" s="44"/>
    </row>
    <row r="29" spans="1:30" x14ac:dyDescent="0.25">
      <c r="A29" s="1">
        <v>43080</v>
      </c>
      <c r="B29" t="s">
        <v>10</v>
      </c>
      <c r="C29" s="116" t="s">
        <v>11</v>
      </c>
      <c r="D29" s="128" t="s">
        <v>130</v>
      </c>
      <c r="E29" s="99">
        <v>3.5</v>
      </c>
      <c r="F29" s="85">
        <v>3</v>
      </c>
      <c r="G29" s="46">
        <v>7200</v>
      </c>
      <c r="H29" s="5">
        <v>6</v>
      </c>
      <c r="I29" s="5">
        <v>9.5</v>
      </c>
      <c r="J29" s="65">
        <f>(Table5[[#This Row],[RPM]]/5400-1)</f>
        <v>0.33333333333333326</v>
      </c>
      <c r="K29" s="49">
        <v>156</v>
      </c>
      <c r="L29">
        <v>2</v>
      </c>
      <c r="M29" s="40">
        <v>300000</v>
      </c>
      <c r="N29">
        <v>55</v>
      </c>
      <c r="O29" s="40"/>
      <c r="P29" s="39">
        <f t="shared" si="3"/>
        <v>100000000000000</v>
      </c>
      <c r="Q29" s="57">
        <f>2.5*12</f>
        <v>30</v>
      </c>
      <c r="R29" s="5">
        <v>8</v>
      </c>
      <c r="S29" s="5">
        <v>5.4</v>
      </c>
      <c r="T29" s="129">
        <v>0.75</v>
      </c>
      <c r="U29" s="133">
        <f>(((Table5[[#This Row],[Watts Active]]*Power_On_Hours_Year/1000)*Active_Duty_Cycle)+((Table5[[#This Row],[Watts Idle]]*Power_On_Hours_Year/1000)*(100%-Active_Duty_Cycle)))*CostPerKWH</f>
        <v>6.486662400000001</v>
      </c>
      <c r="V29" s="168">
        <f>Table5[Energy$year]/Table5[[#This Row],[SizTB]]</f>
        <v>2.1622208000000005</v>
      </c>
      <c r="W29" s="167">
        <v>89.99</v>
      </c>
      <c r="X29" s="6">
        <f>Table5[[#This Row],[Cost]]/Table5[[#This Row],[SizTB]]*Exchange_Rate</f>
        <v>29.996666666666666</v>
      </c>
      <c r="Y29" s="172">
        <f>Table5[[#This Row],[Cost]]+((CompareWarrYrs-Table5[[#This Row],[S]])*(Incremental_Warr_Yr*Table5[[#This Row],[Cost]]))*Exchange_Rate</f>
        <v>119.6867</v>
      </c>
      <c r="Z29" s="6">
        <f>Table5[[#This Row],[$+Warr]]/Table5[[#This Row],[SizTB]]</f>
        <v>39.895566666666667</v>
      </c>
      <c r="AA29" s="6">
        <f>Table5[[#This Row],[$PerTB]]/CompareWarrYrs</f>
        <v>7.9791133333333333</v>
      </c>
      <c r="AB29" s="186"/>
      <c r="AC29" s="187"/>
      <c r="AD29" s="44"/>
    </row>
    <row r="30" spans="1:30" x14ac:dyDescent="0.25">
      <c r="A30" s="1">
        <v>43050</v>
      </c>
      <c r="B30" t="s">
        <v>10</v>
      </c>
      <c r="C30" s="116" t="s">
        <v>11</v>
      </c>
      <c r="D30" s="128" t="s">
        <v>130</v>
      </c>
      <c r="E30" s="99">
        <v>3.5</v>
      </c>
      <c r="F30" s="85">
        <v>4</v>
      </c>
      <c r="G30" s="46">
        <v>7200</v>
      </c>
      <c r="H30" s="5">
        <v>6</v>
      </c>
      <c r="I30" s="5">
        <v>9.5</v>
      </c>
      <c r="J30" s="65">
        <f>(Table5[[#This Row],[RPM]]/5400-1)</f>
        <v>0.33333333333333326</v>
      </c>
      <c r="K30" s="49">
        <v>190</v>
      </c>
      <c r="L30">
        <v>2</v>
      </c>
      <c r="M30" s="40">
        <v>300000</v>
      </c>
      <c r="N30">
        <v>55</v>
      </c>
      <c r="O30" s="40"/>
      <c r="P30" s="39">
        <f t="shared" si="3"/>
        <v>100000000000000</v>
      </c>
      <c r="Q30" s="57">
        <v>24</v>
      </c>
      <c r="R30" s="5">
        <v>5</v>
      </c>
      <c r="S30" s="5">
        <v>2.5</v>
      </c>
      <c r="T30" s="129">
        <v>0.25</v>
      </c>
      <c r="U30" s="133">
        <f>(((Table5[[#This Row],[Watts Active]]*Power_On_Hours_Year/1000)*Active_Duty_Cycle)+((Table5[[#This Row],[Watts Idle]]*Power_On_Hours_Year/1000)*(100%-Active_Duty_Cycle)))*CostPerKWH</f>
        <v>3.2871600000000001</v>
      </c>
      <c r="V30" s="168">
        <f>Table5[Energy$year]/Table5[[#This Row],[SizTB]]</f>
        <v>0.82179000000000002</v>
      </c>
      <c r="W30" s="167">
        <v>89.99</v>
      </c>
      <c r="X30" s="6">
        <f>Table5[[#This Row],[Cost]]/Table5[[#This Row],[SizTB]]*Exchange_Rate</f>
        <v>22.497499999999999</v>
      </c>
      <c r="Y30" s="172">
        <f>Table5[[#This Row],[Cost]]+((CompareWarrYrs-Table5[[#This Row],[S]])*(Incremental_Warr_Yr*Table5[[#This Row],[Cost]]))*Exchange_Rate</f>
        <v>119.6867</v>
      </c>
      <c r="Z30" s="6">
        <f>Table5[[#This Row],[$+Warr]]/Table5[[#This Row],[SizTB]]</f>
        <v>29.921675</v>
      </c>
      <c r="AA30" s="6">
        <f>Table5[[#This Row],[$PerTB]]/CompareWarrYrs</f>
        <v>5.9843349999999997</v>
      </c>
      <c r="AB30" s="186"/>
      <c r="AC30" s="187"/>
      <c r="AD30" s="44"/>
    </row>
    <row r="31" spans="1:30" x14ac:dyDescent="0.25">
      <c r="A31" s="1">
        <v>43019</v>
      </c>
      <c r="B31" t="s">
        <v>10</v>
      </c>
      <c r="C31" s="116" t="s">
        <v>11</v>
      </c>
      <c r="D31" s="31" t="s">
        <v>129</v>
      </c>
      <c r="E31" s="99">
        <v>2.5</v>
      </c>
      <c r="F31" s="85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si="3"/>
        <v>100000000000000</v>
      </c>
      <c r="Q31" s="57">
        <f>1*5</f>
        <v>5</v>
      </c>
      <c r="R31" s="5">
        <v>1.7</v>
      </c>
      <c r="S31" s="5">
        <v>0.45</v>
      </c>
      <c r="T31" s="129"/>
      <c r="U31" s="133">
        <f>(((Table5[[#This Row],[Watts Active]]*Power_On_Hours_Year/1000)*Active_Duty_Cycle)+((Table5[[#This Row],[Watts Idle]]*Power_On_Hours_Year/1000)*(100%-Active_Duty_Cycle)))*CostPerKWH</f>
        <v>0.76700400000000002</v>
      </c>
      <c r="V31" s="168">
        <f>Table5[Energy$year]/Table5[[#This Row],[SizTB]]</f>
        <v>0.76700400000000002</v>
      </c>
      <c r="W31" s="166">
        <v>49.99</v>
      </c>
      <c r="X31" s="6">
        <f>Table5[[#This Row],[Cost]]/Table5[[#This Row],[SizTB]]*Exchange_Rate</f>
        <v>49.99</v>
      </c>
      <c r="Y31" s="172">
        <f>Table5[[#This Row],[Cost]]+((CompareWarrYrs-Table5[[#This Row],[S]])*(Incremental_Warr_Yr*Table5[[#This Row],[Cost]]))*Exchange_Rate</f>
        <v>66.486699999999999</v>
      </c>
      <c r="Z31" s="6">
        <f>Table5[[#This Row],[$+Warr]]/Table5[[#This Row],[SizTB]]</f>
        <v>66.486699999999999</v>
      </c>
      <c r="AA31" s="6">
        <f>Table5[[#This Row],[$PerTB]]/CompareWarrYrs</f>
        <v>13.29734</v>
      </c>
      <c r="AB31" s="186"/>
      <c r="AC31" s="187"/>
      <c r="AD31" s="44"/>
    </row>
    <row r="32" spans="1:30" x14ac:dyDescent="0.25">
      <c r="A32" s="1">
        <v>43066</v>
      </c>
      <c r="B32" t="s">
        <v>10</v>
      </c>
      <c r="C32" s="116" t="s">
        <v>11</v>
      </c>
      <c r="D32" s="128" t="s">
        <v>129</v>
      </c>
      <c r="E32" s="99">
        <v>2.5</v>
      </c>
      <c r="F32" s="85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3"/>
        <v>100000000000000</v>
      </c>
      <c r="Q32" s="57">
        <f>1*5</f>
        <v>5</v>
      </c>
      <c r="R32" s="5">
        <v>1.8</v>
      </c>
      <c r="S32" s="5">
        <v>0.5</v>
      </c>
      <c r="T32" s="129"/>
      <c r="U32" s="133">
        <f>(((Table5[[#This Row],[Watts Active]]*Power_On_Hours_Year/1000)*Active_Duty_Cycle)+((Table5[[#This Row],[Watts Idle]]*Power_On_Hours_Year/1000)*(100%-Active_Duty_Cycle)))*CostPerKWH</f>
        <v>0.83274720000000002</v>
      </c>
      <c r="V32" s="168">
        <f>Table5[Energy$year]/Table5[[#This Row],[SizTB]]</f>
        <v>0.41637360000000001</v>
      </c>
      <c r="W32" s="167">
        <v>69.989999999999995</v>
      </c>
      <c r="X32" s="6">
        <f>Table5[[#This Row],[Cost]]/Table5[[#This Row],[SizTB]]*Exchange_Rate</f>
        <v>34.994999999999997</v>
      </c>
      <c r="Y32" s="172">
        <f>Table5[[#This Row],[Cost]]+((CompareWarrYrs-Table5[[#This Row],[S]])*(Incremental_Warr_Yr*Table5[[#This Row],[Cost]]))*Exchange_Rate</f>
        <v>93.086699999999993</v>
      </c>
      <c r="Z32" s="6">
        <f>Table5[[#This Row],[$+Warr]]/Table5[[#This Row],[SizTB]]</f>
        <v>46.543349999999997</v>
      </c>
      <c r="AA32" s="6">
        <f>Table5[[#This Row],[$PerTB]]/CompareWarrYrs</f>
        <v>9.3086699999999993</v>
      </c>
      <c r="AB32" s="186"/>
      <c r="AC32" s="187"/>
      <c r="AD32" s="44"/>
    </row>
    <row r="33" spans="1:30" x14ac:dyDescent="0.25">
      <c r="A33" s="1">
        <v>43019</v>
      </c>
      <c r="B33" t="s">
        <v>10</v>
      </c>
      <c r="C33" s="116" t="s">
        <v>11</v>
      </c>
      <c r="D33" s="128" t="s">
        <v>129</v>
      </c>
      <c r="E33" s="99">
        <v>2.5</v>
      </c>
      <c r="F33" s="85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3"/>
        <v>100000000000000</v>
      </c>
      <c r="Q33" s="57">
        <f>1.2*5</f>
        <v>6</v>
      </c>
      <c r="R33" s="5">
        <v>2.1</v>
      </c>
      <c r="S33" s="5">
        <v>1.1000000000000001</v>
      </c>
      <c r="T33" s="129"/>
      <c r="U33" s="133">
        <f>(((Table5[[#This Row],[Watts Active]]*Power_On_Hours_Year/1000)*Active_Duty_Cycle)+((Table5[[#This Row],[Watts Idle]]*Power_On_Hours_Year/1000)*(100%-Active_Duty_Cycle)))*CostPerKWH</f>
        <v>1.4244360000000003</v>
      </c>
      <c r="V33" s="168">
        <f>Table5[Energy$year]/Table5[[#This Row],[SizTB]]</f>
        <v>0.47481200000000007</v>
      </c>
      <c r="W33" s="166">
        <v>89.99</v>
      </c>
      <c r="X33" s="6">
        <f>Table5[[#This Row],[Cost]]/Table5[[#This Row],[SizTB]]*Exchange_Rate</f>
        <v>29.996666666666666</v>
      </c>
      <c r="Y33" s="172">
        <f>Table5[[#This Row],[Cost]]+((CompareWarrYrs-Table5[[#This Row],[S]])*(Incremental_Warr_Yr*Table5[[#This Row],[Cost]]))*Exchange_Rate</f>
        <v>119.6867</v>
      </c>
      <c r="Z33" s="6">
        <f>Table5[[#This Row],[$+Warr]]/Table5[[#This Row],[SizTB]]</f>
        <v>39.895566666666667</v>
      </c>
      <c r="AA33" s="6">
        <f>Table5[[#This Row],[$PerTB]]/CompareWarrYrs</f>
        <v>7.9791133333333333</v>
      </c>
      <c r="AB33" s="186"/>
      <c r="AC33" s="187"/>
      <c r="AD33" s="44"/>
    </row>
    <row r="34" spans="1:30" x14ac:dyDescent="0.25">
      <c r="A34" s="1">
        <v>43103</v>
      </c>
      <c r="B34" t="s">
        <v>10</v>
      </c>
      <c r="C34" s="116" t="s">
        <v>11</v>
      </c>
      <c r="D34" s="128" t="s">
        <v>129</v>
      </c>
      <c r="E34" s="99">
        <v>2.5</v>
      </c>
      <c r="F34" s="85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3"/>
        <v>100000000000000</v>
      </c>
      <c r="Q34" s="57">
        <f>1.2*5</f>
        <v>6</v>
      </c>
      <c r="R34" s="5">
        <v>2.1</v>
      </c>
      <c r="S34" s="5">
        <v>1.1000000000000001</v>
      </c>
      <c r="T34" s="129"/>
      <c r="U34" s="133">
        <f>(((Table5[[#This Row],[Watts Active]]*Power_On_Hours_Year/1000)*Active_Duty_Cycle)+((Table5[[#This Row],[Watts Idle]]*Power_On_Hours_Year/1000)*(100%-Active_Duty_Cycle)))*CostPerKWH</f>
        <v>1.4244360000000003</v>
      </c>
      <c r="V34" s="168">
        <f>Table5[Energy$year]/Table5[[#This Row],[SizTB]]</f>
        <v>0.35610900000000006</v>
      </c>
      <c r="W34" s="167">
        <v>92.99</v>
      </c>
      <c r="X34" s="6">
        <f>Table5[[#This Row],[Cost]]/Table5[[#This Row],[SizTB]]*Exchange_Rate</f>
        <v>23.247499999999999</v>
      </c>
      <c r="Y34" s="172">
        <f>Table5[[#This Row],[Cost]]+((CompareWarrYrs-Table5[[#This Row],[S]])*(Incremental_Warr_Yr*Table5[[#This Row],[Cost]]))*Exchange_Rate</f>
        <v>123.6767</v>
      </c>
      <c r="Z34" s="6">
        <f>Table5[[#This Row],[$+Warr]]/Table5[[#This Row],[SizTB]]</f>
        <v>30.919174999999999</v>
      </c>
      <c r="AA34" s="6">
        <f>Table5[[#This Row],[$PerTB]]/CompareWarrYrs</f>
        <v>6.1838350000000002</v>
      </c>
      <c r="AB34" s="186"/>
      <c r="AC34" s="187"/>
      <c r="AD34" s="44"/>
    </row>
    <row r="35" spans="1:30" x14ac:dyDescent="0.25">
      <c r="A35" s="1">
        <v>43053</v>
      </c>
      <c r="B35" t="s">
        <v>10</v>
      </c>
      <c r="C35" s="116" t="s">
        <v>11</v>
      </c>
      <c r="D35" s="128" t="s">
        <v>129</v>
      </c>
      <c r="E35" s="99">
        <v>2.5</v>
      </c>
      <c r="F35" s="85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3"/>
        <v>100000000000000</v>
      </c>
      <c r="Q35" s="57">
        <f>1.2*5</f>
        <v>6</v>
      </c>
      <c r="R35" s="5">
        <v>2.1</v>
      </c>
      <c r="S35" s="5">
        <v>1.1000000000000001</v>
      </c>
      <c r="T35" s="129"/>
      <c r="U35" s="133">
        <f>(((Table5[[#This Row],[Watts Active]]*Power_On_Hours_Year/1000)*Active_Duty_Cycle)+((Table5[[#This Row],[Watts Idle]]*Power_On_Hours_Year/1000)*(100%-Active_Duty_Cycle)))*CostPerKWH</f>
        <v>1.4244360000000003</v>
      </c>
      <c r="V35" s="168">
        <f>Table5[Energy$year]/Table5[[#This Row],[SizTB]]</f>
        <v>0.28488720000000006</v>
      </c>
      <c r="W35" s="166">
        <v>209.99</v>
      </c>
      <c r="X35" s="6">
        <f>Table5[[#This Row],[Cost]]/Table5[[#This Row],[SizTB]]*Exchange_Rate</f>
        <v>41.998000000000005</v>
      </c>
      <c r="Y35" s="172">
        <f>Table5[[#This Row],[Cost]]+((CompareWarrYrs-Table5[[#This Row],[S]])*(Incremental_Warr_Yr*Table5[[#This Row],[Cost]]))*Exchange_Rate</f>
        <v>279.2867</v>
      </c>
      <c r="Z35" s="6">
        <f>Table5[[#This Row],[$+Warr]]/Table5[[#This Row],[SizTB]]</f>
        <v>55.857340000000001</v>
      </c>
      <c r="AA35" s="6">
        <f>Table5[[#This Row],[$PerTB]]/CompareWarrYrs</f>
        <v>11.171468000000001</v>
      </c>
      <c r="AB35" s="186"/>
      <c r="AC35" s="187"/>
      <c r="AD35" s="44"/>
    </row>
    <row r="36" spans="1:30" x14ac:dyDescent="0.25">
      <c r="A36" s="1">
        <v>43088</v>
      </c>
      <c r="B36" t="s">
        <v>10</v>
      </c>
      <c r="C36" s="116" t="s">
        <v>18</v>
      </c>
      <c r="D36" s="31" t="s">
        <v>130</v>
      </c>
      <c r="E36" s="99">
        <v>3.5</v>
      </c>
      <c r="F36" s="85">
        <v>2</v>
      </c>
      <c r="G36" s="46">
        <v>7200</v>
      </c>
      <c r="H36" s="5">
        <v>4.16</v>
      </c>
      <c r="I36" s="5"/>
      <c r="J36" s="65">
        <f>(Table5[[#This Row],[RPM]]/5400-1)</f>
        <v>0.33333333333333326</v>
      </c>
      <c r="K36" s="49">
        <v>195</v>
      </c>
      <c r="L36">
        <v>5</v>
      </c>
      <c r="M36" s="40" t="s">
        <v>142</v>
      </c>
      <c r="N36">
        <v>180</v>
      </c>
      <c r="O36" s="40">
        <v>1200000</v>
      </c>
      <c r="P36" s="39">
        <v>1000000000000000</v>
      </c>
      <c r="Q36" s="57">
        <v>24</v>
      </c>
      <c r="R36" s="5">
        <v>6.7</v>
      </c>
      <c r="S36" s="5">
        <v>4.5</v>
      </c>
      <c r="T36" s="129">
        <v>0.8</v>
      </c>
      <c r="U36" s="133">
        <f>(((Table5[[#This Row],[Watts Active]]*Power_On_Hours_Year/1000)*Active_Duty_Cycle)+((Table5[[#This Row],[Watts Idle]]*Power_On_Hours_Year/1000)*(100%-Active_Duty_Cycle)))*CostPerKWH</f>
        <v>5.4128568000000001</v>
      </c>
      <c r="V36" s="168">
        <f>Table5[Energy$year]/Table5[[#This Row],[SizTB]]</f>
        <v>2.7064284000000001</v>
      </c>
      <c r="W36" s="167">
        <v>119.99</v>
      </c>
      <c r="X36" s="6">
        <f>Table5[[#This Row],[Cost]]/Table5[[#This Row],[SizTB]]*Exchange_Rate</f>
        <v>59.994999999999997</v>
      </c>
      <c r="Y36" s="172">
        <f>Table5[[#This Row],[Cost]]+((CompareWarrYrs-Table5[[#This Row],[S]])*(Incremental_Warr_Yr*Table5[[#This Row],[Cost]]))*Exchange_Rate</f>
        <v>119.99</v>
      </c>
      <c r="Z36" s="6">
        <f>Table5[[#This Row],[$+Warr]]/Table5[[#This Row],[SizTB]]</f>
        <v>59.994999999999997</v>
      </c>
      <c r="AA36" s="6">
        <f>Table5[[#This Row],[$PerTB]]/CompareWarrYrs</f>
        <v>11.998999999999999</v>
      </c>
      <c r="AB36" s="186"/>
      <c r="AC36" s="187"/>
      <c r="AD36" s="44"/>
    </row>
    <row r="37" spans="1:30" x14ac:dyDescent="0.25">
      <c r="A37" s="1">
        <v>43088</v>
      </c>
      <c r="B37" t="s">
        <v>10</v>
      </c>
      <c r="C37" s="116" t="s">
        <v>18</v>
      </c>
      <c r="D37" s="128" t="s">
        <v>130</v>
      </c>
      <c r="E37" s="99">
        <v>3.5</v>
      </c>
      <c r="F37" s="85">
        <v>4</v>
      </c>
      <c r="G37" s="46">
        <v>7200</v>
      </c>
      <c r="H37" s="5">
        <v>4.16</v>
      </c>
      <c r="I37" s="5"/>
      <c r="J37" s="65">
        <f>(Table5[[#This Row],[RPM]]/5400-1)</f>
        <v>0.33333333333333326</v>
      </c>
      <c r="K37" s="49">
        <v>214</v>
      </c>
      <c r="L37">
        <v>5</v>
      </c>
      <c r="M37" s="40">
        <v>600000</v>
      </c>
      <c r="N37">
        <v>180</v>
      </c>
      <c r="O37" s="40">
        <v>1200000</v>
      </c>
      <c r="P37" s="39">
        <v>1000000000000000</v>
      </c>
      <c r="Q37" s="57">
        <v>24</v>
      </c>
      <c r="R37" s="5">
        <v>6.7</v>
      </c>
      <c r="S37" s="5">
        <v>6</v>
      </c>
      <c r="T37" s="129">
        <v>0.6</v>
      </c>
      <c r="U37" s="133">
        <f>(((Table5[[#This Row],[Watts Active]]*Power_On_Hours_Year/1000)*Active_Duty_Cycle)+((Table5[[#This Row],[Watts Idle]]*Power_On_Hours_Year/1000)*(100%-Active_Duty_Cycle)))*CostPerKWH</f>
        <v>6.7277208000000002</v>
      </c>
      <c r="V37" s="168">
        <f>Table5[Energy$year]/Table5[[#This Row],[SizTB]]</f>
        <v>1.6819302</v>
      </c>
      <c r="W37" s="167">
        <v>174.98</v>
      </c>
      <c r="X37" s="6">
        <f>Table5[[#This Row],[Cost]]/Table5[[#This Row],[SizTB]]*Exchange_Rate</f>
        <v>43.744999999999997</v>
      </c>
      <c r="Y37" s="172">
        <f>Table5[[#This Row],[Cost]]+((CompareWarrYrs-Table5[[#This Row],[S]])*(Incremental_Warr_Yr*Table5[[#This Row],[Cost]]))*Exchange_Rate</f>
        <v>174.98</v>
      </c>
      <c r="Z37" s="6">
        <f>Table5[[#This Row],[$+Warr]]/Table5[[#This Row],[SizTB]]</f>
        <v>43.744999999999997</v>
      </c>
      <c r="AA37" s="6">
        <f>Table5[[#This Row],[$PerTB]]/CompareWarrYrs</f>
        <v>8.7489999999999988</v>
      </c>
      <c r="AB37" s="186"/>
      <c r="AC37" s="187"/>
      <c r="AD37" s="44"/>
    </row>
    <row r="38" spans="1:30" x14ac:dyDescent="0.25">
      <c r="A38" s="1">
        <v>43088</v>
      </c>
      <c r="B38" t="s">
        <v>10</v>
      </c>
      <c r="C38" s="116" t="s">
        <v>18</v>
      </c>
      <c r="D38" s="128" t="s">
        <v>130</v>
      </c>
      <c r="E38" s="99">
        <v>3.5</v>
      </c>
      <c r="F38" s="85">
        <v>6</v>
      </c>
      <c r="G38" s="46">
        <v>7200</v>
      </c>
      <c r="H38" s="5">
        <v>4.16</v>
      </c>
      <c r="I38" s="5"/>
      <c r="J38" s="65">
        <f>(Table5[[#This Row],[RPM]]/5400-1)</f>
        <v>0.33333333333333326</v>
      </c>
      <c r="K38" s="49">
        <v>214</v>
      </c>
      <c r="L38">
        <v>5</v>
      </c>
      <c r="M38" s="40">
        <v>600000</v>
      </c>
      <c r="N38">
        <v>300</v>
      </c>
      <c r="O38" s="40">
        <v>1200000</v>
      </c>
      <c r="P38" s="39">
        <v>1000000000000000</v>
      </c>
      <c r="Q38" s="57">
        <v>24</v>
      </c>
      <c r="R38" s="5">
        <v>9</v>
      </c>
      <c r="S38" s="5">
        <v>7.2</v>
      </c>
      <c r="T38" s="129">
        <v>0.6</v>
      </c>
      <c r="U38" s="133">
        <f>(((Table5[[#This Row],[Watts Active]]*Power_On_Hours_Year/1000)*Active_Duty_Cycle)+((Table5[[#This Row],[Watts Idle]]*Power_On_Hours_Year/1000)*(100%-Active_Duty_Cycle)))*CostPerKWH</f>
        <v>8.2836432000000002</v>
      </c>
      <c r="V38" s="168">
        <f>Table5[Energy$year]/Table5[[#This Row],[SizTB]]</f>
        <v>1.3806072</v>
      </c>
      <c r="W38" s="167">
        <v>234.99</v>
      </c>
      <c r="X38" s="6">
        <f>Table5[[#This Row],[Cost]]/Table5[[#This Row],[SizTB]]*Exchange_Rate</f>
        <v>39.164999999999999</v>
      </c>
      <c r="Y38" s="172">
        <f>Table5[[#This Row],[Cost]]+((CompareWarrYrs-Table5[[#This Row],[S]])*(Incremental_Warr_Yr*Table5[[#This Row],[Cost]]))*Exchange_Rate</f>
        <v>234.99</v>
      </c>
      <c r="Z38" s="6">
        <f>Table5[[#This Row],[$+Warr]]/Table5[[#This Row],[SizTB]]</f>
        <v>39.164999999999999</v>
      </c>
      <c r="AA38" s="6">
        <f>Table5[[#This Row],[$PerTB]]/CompareWarrYrs</f>
        <v>7.8330000000000002</v>
      </c>
      <c r="AB38" s="186"/>
      <c r="AC38" s="187"/>
      <c r="AD38" s="44"/>
    </row>
    <row r="39" spans="1:30" x14ac:dyDescent="0.25">
      <c r="A39" s="1">
        <v>43088</v>
      </c>
      <c r="B39" t="s">
        <v>10</v>
      </c>
      <c r="C39" s="116" t="s">
        <v>18</v>
      </c>
      <c r="D39" s="128" t="s">
        <v>130</v>
      </c>
      <c r="E39" s="99">
        <v>3.5</v>
      </c>
      <c r="F39" s="85">
        <v>8</v>
      </c>
      <c r="G39" s="46">
        <v>7200</v>
      </c>
      <c r="H39" s="5">
        <v>4.16</v>
      </c>
      <c r="I39" s="5"/>
      <c r="J39" s="65">
        <f>(Table5[[#This Row],[RPM]]/5400-1)</f>
        <v>0.33333333333333326</v>
      </c>
      <c r="K39" s="49">
        <v>210</v>
      </c>
      <c r="L39">
        <v>5</v>
      </c>
      <c r="M39" s="40">
        <v>300000</v>
      </c>
      <c r="N39">
        <v>300</v>
      </c>
      <c r="O39" s="40">
        <v>1000000</v>
      </c>
      <c r="P39" s="39">
        <v>1000000000000000</v>
      </c>
      <c r="Q39" s="57">
        <f>12*2</f>
        <v>24</v>
      </c>
      <c r="R39" s="5">
        <v>6.8</v>
      </c>
      <c r="S39" s="5">
        <v>4.42</v>
      </c>
      <c r="T39" s="129">
        <v>0.8</v>
      </c>
      <c r="U39" s="133">
        <f>(((Table5[[#This Row],[Watts Active]]*Power_On_Hours_Year/1000)*Active_Duty_Cycle)+((Table5[[#This Row],[Watts Idle]]*Power_On_Hours_Year/1000)*(100%-Active_Duty_Cycle)))*CostPerKWH</f>
        <v>5.3646451200000005</v>
      </c>
      <c r="V39" s="168">
        <f>Table5[Energy$year]/Table5[[#This Row],[SizTB]]</f>
        <v>0.67058064000000006</v>
      </c>
      <c r="W39" s="167">
        <v>299.99</v>
      </c>
      <c r="X39" s="6">
        <f>Table5[[#This Row],[Cost]]/Table5[[#This Row],[SizTB]]*Exchange_Rate</f>
        <v>37.498750000000001</v>
      </c>
      <c r="Y39" s="172">
        <f>Table5[[#This Row],[Cost]]+((CompareWarrYrs-Table5[[#This Row],[S]])*(Incremental_Warr_Yr*Table5[[#This Row],[Cost]]))*Exchange_Rate</f>
        <v>299.99</v>
      </c>
      <c r="Z39" s="6">
        <f>Table5[[#This Row],[$+Warr]]/Table5[[#This Row],[SizTB]]</f>
        <v>37.498750000000001</v>
      </c>
      <c r="AA39" s="6">
        <f>Table5[[#This Row],[$PerTB]]/CompareWarrYrs</f>
        <v>7.4997500000000006</v>
      </c>
      <c r="AB39" s="186"/>
      <c r="AC39" s="187"/>
      <c r="AD39" s="44"/>
    </row>
    <row r="40" spans="1:30" x14ac:dyDescent="0.25">
      <c r="A40" s="1">
        <v>43088</v>
      </c>
      <c r="B40" t="s">
        <v>10</v>
      </c>
      <c r="C40" s="116" t="s">
        <v>18</v>
      </c>
      <c r="D40" s="128" t="s">
        <v>130</v>
      </c>
      <c r="E40" s="99">
        <v>3.5</v>
      </c>
      <c r="F40" s="85">
        <v>10</v>
      </c>
      <c r="G40" s="46">
        <v>7200</v>
      </c>
      <c r="H40" s="5">
        <v>4.16</v>
      </c>
      <c r="I40" s="5"/>
      <c r="J40" s="65">
        <f>(Table5[[#This Row],[RPM]]/5400-1)</f>
        <v>0.33333333333333326</v>
      </c>
      <c r="K40" s="49">
        <v>210</v>
      </c>
      <c r="L40">
        <v>5</v>
      </c>
      <c r="M40" s="40">
        <v>300000</v>
      </c>
      <c r="N40">
        <v>300</v>
      </c>
      <c r="O40" s="40">
        <v>1000000</v>
      </c>
      <c r="P40" s="39">
        <v>1000000000000000</v>
      </c>
      <c r="Q40" s="57">
        <v>24</v>
      </c>
      <c r="R40" s="5">
        <v>7.8</v>
      </c>
      <c r="S40" s="5">
        <v>4.42</v>
      </c>
      <c r="T40" s="129">
        <v>0.8</v>
      </c>
      <c r="U40" s="133">
        <f>(((Table5[[#This Row],[Watts Active]]*Power_On_Hours_Year/1000)*Active_Duty_Cycle)+((Table5[[#This Row],[Watts Idle]]*Power_On_Hours_Year/1000)*(100%-Active_Duty_Cycle)))*CostPerKWH</f>
        <v>5.5837891200000005</v>
      </c>
      <c r="V40" s="168">
        <f>Table5[Energy$year]/Table5[[#This Row],[SizTB]]</f>
        <v>0.55837891200000001</v>
      </c>
      <c r="W40" s="167">
        <v>379.99</v>
      </c>
      <c r="X40" s="6">
        <f>Table5[[#This Row],[Cost]]/Table5[[#This Row],[SizTB]]*Exchange_Rate</f>
        <v>37.999000000000002</v>
      </c>
      <c r="Y40" s="172">
        <f>Table5[[#This Row],[Cost]]+((CompareWarrYrs-Table5[[#This Row],[S]])*(Incremental_Warr_Yr*Table5[[#This Row],[Cost]]))*Exchange_Rate</f>
        <v>379.99</v>
      </c>
      <c r="Z40" s="6">
        <f>Table5[[#This Row],[$+Warr]]/Table5[[#This Row],[SizTB]]</f>
        <v>37.999000000000002</v>
      </c>
      <c r="AA40" s="6">
        <f>Table5[[#This Row],[$PerTB]]/CompareWarrYrs</f>
        <v>7.5998000000000001</v>
      </c>
      <c r="AB40" s="186"/>
      <c r="AC40" s="187"/>
      <c r="AD40" s="44"/>
    </row>
    <row r="41" spans="1:30" x14ac:dyDescent="0.25">
      <c r="A41" s="1">
        <v>43066</v>
      </c>
      <c r="B41" t="s">
        <v>10</v>
      </c>
      <c r="C41" s="116" t="s">
        <v>18</v>
      </c>
      <c r="D41" s="128" t="s">
        <v>130</v>
      </c>
      <c r="E41" s="99">
        <v>3.5</v>
      </c>
      <c r="F41" s="85">
        <v>12</v>
      </c>
      <c r="G41" s="46">
        <v>7200</v>
      </c>
      <c r="H41" s="5">
        <v>4.16</v>
      </c>
      <c r="I41" s="5"/>
      <c r="J41" s="65">
        <f>(Table5[[#This Row],[RPM]]/5400-1)</f>
        <v>0.33333333333333326</v>
      </c>
      <c r="K41" s="49">
        <v>238</v>
      </c>
      <c r="L41">
        <v>5</v>
      </c>
      <c r="M41" s="40">
        <v>300000</v>
      </c>
      <c r="N41">
        <v>300</v>
      </c>
      <c r="O41" s="40">
        <v>1000000</v>
      </c>
      <c r="P41" s="39">
        <v>1000000000000000</v>
      </c>
      <c r="Q41" s="57">
        <v>24</v>
      </c>
      <c r="R41" s="5">
        <v>7.8</v>
      </c>
      <c r="S41" s="5">
        <v>4.83</v>
      </c>
      <c r="T41" s="129">
        <v>0.84</v>
      </c>
      <c r="U41" s="133">
        <f>(((Table5[[#This Row],[Watts Active]]*Power_On_Hours_Year/1000)*Active_Duty_Cycle)+((Table5[[#This Row],[Watts Idle]]*Power_On_Hours_Year/1000)*(100%-Active_Duty_Cycle)))*CostPerKWH</f>
        <v>5.9431852800000007</v>
      </c>
      <c r="V41" s="168">
        <f>Table5[Energy$year]/Table5[[#This Row],[SizTB]]</f>
        <v>0.49526544000000006</v>
      </c>
      <c r="W41" s="167">
        <v>499.99</v>
      </c>
      <c r="X41" s="6">
        <f>Table5[[#This Row],[Cost]]/Table5[[#This Row],[SizTB]]*Exchange_Rate</f>
        <v>41.665833333333332</v>
      </c>
      <c r="Y41" s="172">
        <f>Table5[[#This Row],[Cost]]+((CompareWarrYrs-Table5[[#This Row],[S]])*(Incremental_Warr_Yr*Table5[[#This Row],[Cost]]))*Exchange_Rate</f>
        <v>499.99</v>
      </c>
      <c r="Z41" s="6">
        <f>Table5[[#This Row],[$+Warr]]/Table5[[#This Row],[SizTB]]</f>
        <v>41.665833333333332</v>
      </c>
      <c r="AA41" s="6">
        <f>Table5[[#This Row],[$PerTB]]/CompareWarrYrs</f>
        <v>8.3331666666666671</v>
      </c>
      <c r="AB41" s="186"/>
      <c r="AC41" s="187"/>
      <c r="AD41" s="44"/>
    </row>
    <row r="42" spans="1:30" x14ac:dyDescent="0.25">
      <c r="A42" s="1">
        <v>43027</v>
      </c>
      <c r="B42" t="s">
        <v>10</v>
      </c>
      <c r="C42" s="116" t="s">
        <v>105</v>
      </c>
      <c r="D42" s="119" t="s">
        <v>50</v>
      </c>
      <c r="E42" s="99">
        <v>2.5</v>
      </c>
      <c r="F42" s="85">
        <v>1.8</v>
      </c>
      <c r="G42" s="46">
        <v>10500</v>
      </c>
      <c r="H42" s="5">
        <v>2.9</v>
      </c>
      <c r="I42" s="5"/>
      <c r="J42" s="65">
        <f>(Table5[[#This Row],[RPM]]/5400-1)</f>
        <v>0.94444444444444442</v>
      </c>
      <c r="K42" s="49">
        <v>270</v>
      </c>
      <c r="L42">
        <v>5</v>
      </c>
      <c r="M42" s="40"/>
      <c r="N42">
        <v>550</v>
      </c>
      <c r="O42" s="40">
        <v>2000000</v>
      </c>
      <c r="P42" s="39">
        <v>1E+16</v>
      </c>
      <c r="Q42" s="57"/>
      <c r="R42" s="5">
        <v>6.95</v>
      </c>
      <c r="S42" s="5">
        <v>4.26</v>
      </c>
      <c r="T42" s="129"/>
      <c r="U42" s="133">
        <f>(((Table5[[#This Row],[Watts Active]]*Power_On_Hours_Year/1000)*Active_Duty_Cycle)+((Table5[[#This Row],[Watts Idle]]*Power_On_Hours_Year/1000)*(100%-Active_Duty_Cycle)))*CostPerKWH</f>
        <v>5.2572645600000003</v>
      </c>
      <c r="V42" s="168">
        <f>Table5[Energy$year]/Table5[[#This Row],[SizTB]]</f>
        <v>2.9207025333333334</v>
      </c>
      <c r="W42" s="166"/>
      <c r="X42" s="6">
        <f>Table5[[#This Row],[Cost]]/Table5[[#This Row],[SizTB]]*Exchange_Rate</f>
        <v>0</v>
      </c>
      <c r="Y42" s="172">
        <f>Table5[[#This Row],[Cost]]+((CompareWarrYrs-Table5[[#This Row],[S]])*(Incremental_Warr_Yr*Table5[[#This Row],[Cost]]))*Exchange_Rate</f>
        <v>0</v>
      </c>
      <c r="Z42" s="6">
        <f>Table5[[#This Row],[$+Warr]]/Table5[[#This Row],[SizTB]]</f>
        <v>0</v>
      </c>
      <c r="AA42" s="6">
        <f>Table5[[#This Row],[$PerTB]]/CompareWarrYrs</f>
        <v>0</v>
      </c>
      <c r="AB42" s="186"/>
      <c r="AC42" s="187"/>
      <c r="AD42" s="44" t="s">
        <v>97</v>
      </c>
    </row>
    <row r="43" spans="1:30" x14ac:dyDescent="0.25">
      <c r="A43" s="1">
        <v>43027</v>
      </c>
      <c r="B43" t="s">
        <v>10</v>
      </c>
      <c r="C43" s="116" t="s">
        <v>105</v>
      </c>
      <c r="D43" s="119" t="s">
        <v>50</v>
      </c>
      <c r="E43" s="99">
        <v>2.5</v>
      </c>
      <c r="F43" s="85">
        <v>2.4</v>
      </c>
      <c r="G43" s="46">
        <v>10500</v>
      </c>
      <c r="H43" s="5">
        <v>2.9</v>
      </c>
      <c r="I43" s="5"/>
      <c r="J43" s="65">
        <f>(Table5[[#This Row],[RPM]]/5400-1)</f>
        <v>0.94444444444444442</v>
      </c>
      <c r="K43" s="49">
        <v>270</v>
      </c>
      <c r="L43">
        <v>5</v>
      </c>
      <c r="M43" s="40"/>
      <c r="N43">
        <v>550</v>
      </c>
      <c r="O43" s="40">
        <v>2000000</v>
      </c>
      <c r="P43" s="39">
        <v>1E+16</v>
      </c>
      <c r="Q43" s="57"/>
      <c r="R43" s="5">
        <v>8.57</v>
      </c>
      <c r="S43" s="5">
        <v>4.9000000000000004</v>
      </c>
      <c r="T43" s="129"/>
      <c r="U43" s="133">
        <f>(((Table5[[#This Row],[Watts Active]]*Power_On_Hours_Year/1000)*Active_Duty_Cycle)+((Table5[[#This Row],[Watts Idle]]*Power_On_Hours_Year/1000)*(100%-Active_Duty_Cycle)))*CostPerKWH</f>
        <v>6.1732864799999998</v>
      </c>
      <c r="V43" s="168">
        <f>Table5[Energy$year]/Table5[[#This Row],[SizTB]]</f>
        <v>2.5722027000000001</v>
      </c>
      <c r="W43" s="166">
        <v>514.99</v>
      </c>
      <c r="X43" s="6">
        <f>Table5[[#This Row],[Cost]]/Table5[[#This Row],[SizTB]]*Exchange_Rate</f>
        <v>214.57916666666668</v>
      </c>
      <c r="Y43" s="172">
        <f>Table5[[#This Row],[Cost]]+((CompareWarrYrs-Table5[[#This Row],[S]])*(Incremental_Warr_Yr*Table5[[#This Row],[Cost]]))*Exchange_Rate</f>
        <v>514.99</v>
      </c>
      <c r="Z43" s="6">
        <f>Table5[[#This Row],[$+Warr]]/Table5[[#This Row],[SizTB]]</f>
        <v>214.57916666666668</v>
      </c>
      <c r="AA43" s="6">
        <f>Table5[[#This Row],[$PerTB]]/CompareWarrYrs</f>
        <v>42.915833333333339</v>
      </c>
      <c r="AB43" s="186"/>
      <c r="AC43" s="187"/>
      <c r="AD43" s="44" t="s">
        <v>97</v>
      </c>
    </row>
    <row r="44" spans="1:30" x14ac:dyDescent="0.25">
      <c r="A44" s="1">
        <v>43027</v>
      </c>
      <c r="B44" t="s">
        <v>10</v>
      </c>
      <c r="C44" s="116" t="s">
        <v>106</v>
      </c>
      <c r="D44" s="119" t="s">
        <v>50</v>
      </c>
      <c r="E44" s="99">
        <v>3.5</v>
      </c>
      <c r="F44" s="85">
        <v>0.9</v>
      </c>
      <c r="G44" s="46">
        <v>15000</v>
      </c>
      <c r="H44" s="5">
        <v>2</v>
      </c>
      <c r="I44" s="5"/>
      <c r="J44" s="65">
        <f>(Table5[[#This Row],[RPM]]/5400-1)</f>
        <v>1.7777777777777777</v>
      </c>
      <c r="K44" s="49">
        <v>215</v>
      </c>
      <c r="L44">
        <v>5</v>
      </c>
      <c r="M44" s="40"/>
      <c r="N44">
        <v>550</v>
      </c>
      <c r="O44" s="40">
        <v>2000000</v>
      </c>
      <c r="P44" s="39">
        <v>1E+16</v>
      </c>
      <c r="Q44" s="57"/>
      <c r="R44" s="5">
        <v>7.6</v>
      </c>
      <c r="S44" s="5">
        <v>5.7</v>
      </c>
      <c r="T44" s="129"/>
      <c r="U44" s="133">
        <f>(((Table5[[#This Row],[Watts Active]]*Power_On_Hours_Year/1000)*Active_Duty_Cycle)+((Table5[[#This Row],[Watts Idle]]*Power_On_Hours_Year/1000)*(100%-Active_Duty_Cycle)))*CostPerKWH</f>
        <v>6.6619776000000002</v>
      </c>
      <c r="V44" s="168">
        <f>Table5[Energy$year]/Table5[[#This Row],[SizTB]]</f>
        <v>7.4021973333333335</v>
      </c>
      <c r="W44" s="166"/>
      <c r="X44" s="6">
        <f>Table5[[#This Row],[Cost]]/Table5[[#This Row],[SizTB]]*Exchange_Rate</f>
        <v>0</v>
      </c>
      <c r="Y44" s="172">
        <f>Table5[[#This Row],[Cost]]+((CompareWarrYrs-Table5[[#This Row],[S]])*(Incremental_Warr_Yr*Table5[[#This Row],[Cost]]))*Exchange_Rate</f>
        <v>0</v>
      </c>
      <c r="Z44" s="6">
        <f>Table5[[#This Row],[$+Warr]]/Table5[[#This Row],[SizTB]]</f>
        <v>0</v>
      </c>
      <c r="AA44" s="6">
        <f>Table5[[#This Row],[$PerTB]]/CompareWarrYrs</f>
        <v>0</v>
      </c>
      <c r="AB44" s="186"/>
      <c r="AC44" s="187"/>
      <c r="AD44" s="44" t="s">
        <v>45</v>
      </c>
    </row>
    <row r="45" spans="1:30" x14ac:dyDescent="0.25">
      <c r="A45" s="1">
        <v>43027</v>
      </c>
      <c r="B45" t="s">
        <v>10</v>
      </c>
      <c r="C45" s="116" t="s">
        <v>108</v>
      </c>
      <c r="D45" s="119" t="s">
        <v>112</v>
      </c>
      <c r="E45" s="99">
        <v>3.5</v>
      </c>
      <c r="F45" s="85">
        <v>8</v>
      </c>
      <c r="G45" s="46">
        <v>5900</v>
      </c>
      <c r="H45" s="5"/>
      <c r="I45" s="5"/>
      <c r="J45" s="65">
        <f>(Table5[[#This Row],[RPM]]/5400-1)</f>
        <v>9.259259259259256E-2</v>
      </c>
      <c r="K45" s="49">
        <v>190</v>
      </c>
      <c r="L45">
        <v>3</v>
      </c>
      <c r="M45" s="40">
        <v>300000</v>
      </c>
      <c r="N45">
        <v>180</v>
      </c>
      <c r="O45" s="40">
        <v>800000</v>
      </c>
      <c r="P45" s="39">
        <f t="shared" ref="P45" si="4">10^14</f>
        <v>100000000000000</v>
      </c>
      <c r="Q45" s="57">
        <v>24</v>
      </c>
      <c r="R45" s="5">
        <v>5.3</v>
      </c>
      <c r="S45" s="5">
        <v>3.7</v>
      </c>
      <c r="T45" s="129">
        <v>0.99</v>
      </c>
      <c r="U45" s="133">
        <f>(((Table5[[#This Row],[Watts Active]]*Power_On_Hours_Year/1000)*Active_Duty_Cycle)+((Table5[[#This Row],[Watts Idle]]*Power_On_Hours_Year/1000)*(100%-Active_Duty_Cycle)))*CostPerKWH</f>
        <v>4.4047944000000001</v>
      </c>
      <c r="V45" s="168">
        <f>Table5[Energy$year]/Table5[[#This Row],[SizTB]]</f>
        <v>0.55059930000000001</v>
      </c>
      <c r="W45" s="166">
        <v>229.99</v>
      </c>
      <c r="X45" s="6">
        <f>Table5[[#This Row],[Cost]]/Table5[[#This Row],[SizTB]]*Exchange_Rate</f>
        <v>28.748750000000001</v>
      </c>
      <c r="Y45" s="172">
        <f>Table5[[#This Row],[Cost]]+((CompareWarrYrs-Table5[[#This Row],[S]])*(Incremental_Warr_Yr*Table5[[#This Row],[Cost]]))*Exchange_Rate</f>
        <v>280.58780000000002</v>
      </c>
      <c r="Z45" s="6">
        <f>Table5[[#This Row],[$+Warr]]/Table5[[#This Row],[SizTB]]</f>
        <v>35.073475000000002</v>
      </c>
      <c r="AA45" s="6">
        <f>Table5[[#This Row],[$PerTB]]/CompareWarrYrs</f>
        <v>7.0146950000000006</v>
      </c>
      <c r="AB45" s="186"/>
      <c r="AC45" s="187"/>
      <c r="AD45" s="113" t="s">
        <v>124</v>
      </c>
    </row>
    <row r="46" spans="1:30" x14ac:dyDescent="0.25">
      <c r="A46" s="1">
        <v>43027</v>
      </c>
      <c r="B46" t="s">
        <v>10</v>
      </c>
      <c r="C46" s="116" t="s">
        <v>107</v>
      </c>
      <c r="D46" s="119" t="s">
        <v>50</v>
      </c>
      <c r="E46" s="99">
        <v>3.5</v>
      </c>
      <c r="F46" s="120">
        <v>1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194</v>
      </c>
      <c r="L46">
        <v>5</v>
      </c>
      <c r="M46" s="40"/>
      <c r="N46">
        <v>550</v>
      </c>
      <c r="O46" s="40">
        <v>2000000</v>
      </c>
      <c r="P46" s="39">
        <v>1000000000000000</v>
      </c>
      <c r="Q46" s="57"/>
      <c r="R46" s="5">
        <v>7</v>
      </c>
      <c r="S46" s="5">
        <v>4.7</v>
      </c>
      <c r="T46" s="129"/>
      <c r="U46" s="133">
        <f>(((Table5[[#This Row],[Watts Active]]*Power_On_Hours_Year/1000)*Active_Duty_Cycle)+((Table5[[#This Row],[Watts Idle]]*Power_On_Hours_Year/1000)*(100%-Active_Duty_Cycle)))*CostPerKWH</f>
        <v>5.6539152000000001</v>
      </c>
      <c r="V46" s="168">
        <f>Table5[Energy$year]/Table5[[#This Row],[SizTB]]</f>
        <v>5.6539152000000001</v>
      </c>
      <c r="W46" s="166"/>
      <c r="X46" s="6">
        <f>Table5[[#This Row],[Cost]]/Table5[[#This Row],[SizTB]]*Exchange_Rate</f>
        <v>0</v>
      </c>
      <c r="Y46" s="172">
        <f>Table5[[#This Row],[Cost]]+((CompareWarrYrs-Table5[[#This Row],[S]])*(Incremental_Warr_Yr*Table5[[#This Row],[Cost]]))*Exchange_Rate</f>
        <v>0</v>
      </c>
      <c r="Z46" s="6">
        <f>Table5[[#This Row],[$+Warr]]/Table5[[#This Row],[SizTB]]</f>
        <v>0</v>
      </c>
      <c r="AA46" s="6">
        <f>Table5[[#This Row],[$PerTB]]/CompareWarrYrs</f>
        <v>0</v>
      </c>
      <c r="AB46" s="186"/>
      <c r="AC46" s="187"/>
      <c r="AD46" s="44"/>
    </row>
    <row r="47" spans="1:30" x14ac:dyDescent="0.25">
      <c r="A47" s="1">
        <v>43027</v>
      </c>
      <c r="B47" t="s">
        <v>10</v>
      </c>
      <c r="C47" s="116" t="s">
        <v>107</v>
      </c>
      <c r="D47" s="119" t="s">
        <v>50</v>
      </c>
      <c r="E47" s="99">
        <v>3.5</v>
      </c>
      <c r="F47" s="120">
        <v>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194</v>
      </c>
      <c r="L47">
        <v>5</v>
      </c>
      <c r="M47" s="40"/>
      <c r="N47">
        <v>550</v>
      </c>
      <c r="O47" s="40">
        <v>2000000</v>
      </c>
      <c r="P47" s="39">
        <v>1000000000000000</v>
      </c>
      <c r="Q47" s="57"/>
      <c r="R47" s="5">
        <v>7</v>
      </c>
      <c r="S47" s="5">
        <v>4.7</v>
      </c>
      <c r="T47" s="129"/>
      <c r="U47" s="133">
        <f>(((Table5[[#This Row],[Watts Active]]*Power_On_Hours_Year/1000)*Active_Duty_Cycle)+((Table5[[#This Row],[Watts Idle]]*Power_On_Hours_Year/1000)*(100%-Active_Duty_Cycle)))*CostPerKWH</f>
        <v>5.6539152000000001</v>
      </c>
      <c r="V47" s="168">
        <f>Table5[Energy$year]/Table5[[#This Row],[SizTB]]</f>
        <v>2.8269576000000001</v>
      </c>
      <c r="W47" s="166">
        <v>306.60000000000002</v>
      </c>
      <c r="X47" s="6">
        <f>Table5[[#This Row],[Cost]]/Table5[[#This Row],[SizTB]]*Exchange_Rate</f>
        <v>153.30000000000001</v>
      </c>
      <c r="Y47" s="172">
        <f>Table5[[#This Row],[Cost]]+((CompareWarrYrs-Table5[[#This Row],[S]])*(Incremental_Warr_Yr*Table5[[#This Row],[Cost]]))*Exchange_Rate</f>
        <v>306.60000000000002</v>
      </c>
      <c r="Z47" s="6">
        <f>Table5[[#This Row],[$+Warr]]/Table5[[#This Row],[SizTB]]</f>
        <v>153.30000000000001</v>
      </c>
      <c r="AA47" s="6">
        <f>Table5[[#This Row],[$PerTB]]/CompareWarrYrs</f>
        <v>30.660000000000004</v>
      </c>
      <c r="AB47" s="186"/>
      <c r="AC47" s="187"/>
      <c r="AD47" s="44"/>
    </row>
    <row r="48" spans="1:30" x14ac:dyDescent="0.25">
      <c r="A48" s="1">
        <v>43037</v>
      </c>
      <c r="B48" t="s">
        <v>10</v>
      </c>
      <c r="C48" s="116" t="s">
        <v>109</v>
      </c>
      <c r="D48" s="119" t="s">
        <v>50</v>
      </c>
      <c r="E48" s="99">
        <v>2.5</v>
      </c>
      <c r="F48" s="85">
        <v>1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136</v>
      </c>
      <c r="L48">
        <v>5</v>
      </c>
      <c r="M48" s="40">
        <v>300000</v>
      </c>
      <c r="N48">
        <v>550</v>
      </c>
      <c r="O48" s="40">
        <v>2000000</v>
      </c>
      <c r="P48" s="39">
        <v>1000000000000000</v>
      </c>
      <c r="Q48" s="57"/>
      <c r="R48" s="5">
        <v>5.9</v>
      </c>
      <c r="S48" s="10">
        <v>3.29</v>
      </c>
      <c r="T48" s="129">
        <v>1.52</v>
      </c>
      <c r="U48" s="133">
        <f>(((Table5[[#This Row],[Watts Active]]*Power_On_Hours_Year/1000)*Active_Duty_Cycle)+((Table5[[#This Row],[Watts Idle]]*Power_On_Hours_Year/1000)*(100%-Active_Duty_Cycle)))*CostPerKWH</f>
        <v>4.1768846400000008</v>
      </c>
      <c r="V48" s="168">
        <f>Table5[Energy$year]/Table5[[#This Row],[SizTB]]</f>
        <v>4.1768846400000008</v>
      </c>
      <c r="W48" s="166">
        <v>184.41</v>
      </c>
      <c r="X48" s="6">
        <f>Table5[[#This Row],[Cost]]/Table5[[#This Row],[SizTB]]*Exchange_Rate</f>
        <v>184.41</v>
      </c>
      <c r="Y48" s="172">
        <f>Table5[[#This Row],[Cost]]+((CompareWarrYrs-Table5[[#This Row],[S]])*(Incremental_Warr_Yr*Table5[[#This Row],[Cost]]))*Exchange_Rate</f>
        <v>184.41</v>
      </c>
      <c r="Z48" s="6">
        <f>Table5[[#This Row],[$+Warr]]/Table5[[#This Row],[SizTB]]</f>
        <v>184.41</v>
      </c>
      <c r="AA48" s="6">
        <f>Table5[[#This Row],[$PerTB]]/CompareWarrYrs</f>
        <v>36.881999999999998</v>
      </c>
      <c r="AB48" s="186"/>
      <c r="AC48" s="187"/>
      <c r="AD48" s="44"/>
    </row>
    <row r="49" spans="1:30" x14ac:dyDescent="0.25">
      <c r="A49" s="1">
        <v>43027</v>
      </c>
      <c r="B49" t="s">
        <v>10</v>
      </c>
      <c r="C49" s="116" t="s">
        <v>109</v>
      </c>
      <c r="D49" s="119" t="s">
        <v>50</v>
      </c>
      <c r="E49" s="99">
        <v>2.5</v>
      </c>
      <c r="F49" s="85">
        <v>2</v>
      </c>
      <c r="G49" s="46">
        <v>7200</v>
      </c>
      <c r="H49" s="5">
        <v>4.16</v>
      </c>
      <c r="I49" s="5"/>
      <c r="J49" s="65">
        <f>(Table5[[#This Row],[RPM]]/5400-1)</f>
        <v>0.33333333333333326</v>
      </c>
      <c r="K49" s="49">
        <v>136</v>
      </c>
      <c r="L49">
        <v>5</v>
      </c>
      <c r="M49" s="40">
        <v>300000</v>
      </c>
      <c r="N49">
        <v>550</v>
      </c>
      <c r="O49" s="40">
        <v>2000000</v>
      </c>
      <c r="P49" s="39">
        <v>1000000000000000</v>
      </c>
      <c r="Q49" s="57"/>
      <c r="R49" s="5">
        <v>6.02</v>
      </c>
      <c r="S49" s="10">
        <v>3.53</v>
      </c>
      <c r="T49" s="129">
        <v>1.52</v>
      </c>
      <c r="U49" s="133">
        <f>(((Table5[[#This Row],[Watts Active]]*Power_On_Hours_Year/1000)*Active_Duty_Cycle)+((Table5[[#This Row],[Watts Idle]]*Power_On_Hours_Year/1000)*(100%-Active_Duty_Cycle)))*CostPerKWH</f>
        <v>4.4135601600000003</v>
      </c>
      <c r="V49" s="168">
        <f>Table5[Energy$year]/Table5[[#This Row],[SizTB]]</f>
        <v>2.2067800800000001</v>
      </c>
      <c r="W49" s="166">
        <v>329.99</v>
      </c>
      <c r="X49" s="6">
        <f>Table5[[#This Row],[Cost]]/Table5[[#This Row],[SizTB]]*Exchange_Rate</f>
        <v>164.995</v>
      </c>
      <c r="Y49" s="172">
        <f>Table5[[#This Row],[Cost]]+((CompareWarrYrs-Table5[[#This Row],[S]])*(Incremental_Warr_Yr*Table5[[#This Row],[Cost]]))*Exchange_Rate</f>
        <v>329.99</v>
      </c>
      <c r="Z49" s="6">
        <f>Table5[[#This Row],[$+Warr]]/Table5[[#This Row],[SizTB]]</f>
        <v>164.995</v>
      </c>
      <c r="AA49" s="6">
        <f>Table5[[#This Row],[$PerTB]]/CompareWarrYrs</f>
        <v>32.999000000000002</v>
      </c>
      <c r="AB49" s="186"/>
      <c r="AC49" s="187"/>
      <c r="AD49" s="44"/>
    </row>
    <row r="50" spans="1:30" x14ac:dyDescent="0.25">
      <c r="A50" s="1">
        <v>43027</v>
      </c>
      <c r="B50" t="s">
        <v>10</v>
      </c>
      <c r="C50" s="116" t="s">
        <v>104</v>
      </c>
      <c r="D50" s="31" t="s">
        <v>50</v>
      </c>
      <c r="E50" s="99">
        <v>3.5</v>
      </c>
      <c r="F50" s="85">
        <v>1</v>
      </c>
      <c r="G50" s="46">
        <v>7200</v>
      </c>
      <c r="H50" s="5">
        <v>4.16</v>
      </c>
      <c r="I50" s="5"/>
      <c r="J50" s="65">
        <f>(Table5[[#This Row],[RPM]]/5400-1)</f>
        <v>0.33333333333333326</v>
      </c>
      <c r="K50" s="49">
        <v>215</v>
      </c>
      <c r="L50">
        <v>5</v>
      </c>
      <c r="M50" s="40"/>
      <c r="N50">
        <v>550</v>
      </c>
      <c r="O50" s="40">
        <v>2000000</v>
      </c>
      <c r="P50" s="39">
        <v>1000000000000000</v>
      </c>
      <c r="Q50" s="57"/>
      <c r="R50" s="5">
        <v>5.91</v>
      </c>
      <c r="S50" s="5">
        <v>4.25</v>
      </c>
      <c r="T50" s="129"/>
      <c r="U50" s="133">
        <f>(((Table5[[#This Row],[Watts Active]]*Power_On_Hours_Year/1000)*Active_Duty_Cycle)+((Table5[[#This Row],[Watts Idle]]*Power_On_Hours_Year/1000)*(100%-Active_Duty_Cycle)))*CostPerKWH</f>
        <v>5.0205890399999999</v>
      </c>
      <c r="V50" s="168">
        <f>Table5[Energy$year]/Table5[[#This Row],[SizTB]]</f>
        <v>5.0205890399999999</v>
      </c>
      <c r="W50" s="166">
        <v>99.99</v>
      </c>
      <c r="X50" s="6">
        <f>Table5[[#This Row],[Cost]]/Table5[[#This Row],[SizTB]]*Exchange_Rate</f>
        <v>99.99</v>
      </c>
      <c r="Y50" s="172">
        <f>Table5[[#This Row],[Cost]]+((CompareWarrYrs-Table5[[#This Row],[S]])*(Incremental_Warr_Yr*Table5[[#This Row],[Cost]]))*Exchange_Rate</f>
        <v>99.99</v>
      </c>
      <c r="Z50" s="6">
        <f>Table5[[#This Row],[$+Warr]]/Table5[[#This Row],[SizTB]]</f>
        <v>99.99</v>
      </c>
      <c r="AA50" s="6">
        <f>Table5[[#This Row],[$PerTB]]/CompareWarrYrs</f>
        <v>19.997999999999998</v>
      </c>
      <c r="AB50" s="186"/>
      <c r="AC50" s="187"/>
      <c r="AD50" s="44"/>
    </row>
    <row r="51" spans="1:30" x14ac:dyDescent="0.25">
      <c r="A51" s="1">
        <v>43080</v>
      </c>
      <c r="B51" t="s">
        <v>10</v>
      </c>
      <c r="C51" s="116" t="s">
        <v>104</v>
      </c>
      <c r="D51" s="31" t="s">
        <v>50</v>
      </c>
      <c r="E51" s="99">
        <v>3.5</v>
      </c>
      <c r="F51" s="85">
        <v>2</v>
      </c>
      <c r="G51" s="46">
        <v>7200</v>
      </c>
      <c r="H51" s="5">
        <v>4.16</v>
      </c>
      <c r="I51" s="5"/>
      <c r="J51" s="65">
        <f>(Table5[[#This Row],[RPM]]/5400-1)</f>
        <v>0.33333333333333326</v>
      </c>
      <c r="K51" s="49">
        <v>226</v>
      </c>
      <c r="L51">
        <v>5</v>
      </c>
      <c r="M51" s="40"/>
      <c r="N51">
        <v>550</v>
      </c>
      <c r="O51" s="40">
        <v>2000000</v>
      </c>
      <c r="P51" s="39">
        <v>1000000000000000</v>
      </c>
      <c r="Q51" s="57"/>
      <c r="R51" s="5">
        <v>5.9</v>
      </c>
      <c r="S51" s="5">
        <v>4.25</v>
      </c>
      <c r="T51" s="129">
        <v>0.6</v>
      </c>
      <c r="U51" s="133">
        <f>(((Table5[[#This Row],[Watts Active]]*Power_On_Hours_Year/1000)*Active_Duty_Cycle)+((Table5[[#This Row],[Watts Idle]]*Power_On_Hours_Year/1000)*(100%-Active_Duty_Cycle)))*CostPerKWH</f>
        <v>5.0183976000000001</v>
      </c>
      <c r="V51" s="168">
        <f>Table5[Energy$year]/Table5[[#This Row],[SizTB]]</f>
        <v>2.5091988000000001</v>
      </c>
      <c r="W51" s="167">
        <v>114.99</v>
      </c>
      <c r="X51" s="6">
        <f>Table5[[#This Row],[Cost]]/Table5[[#This Row],[SizTB]]*Exchange_Rate</f>
        <v>57.494999999999997</v>
      </c>
      <c r="Y51" s="172">
        <f>Table5[[#This Row],[Cost]]+((CompareWarrYrs-Table5[[#This Row],[S]])*(Incremental_Warr_Yr*Table5[[#This Row],[Cost]]))*Exchange_Rate</f>
        <v>114.99</v>
      </c>
      <c r="Z51" s="6">
        <f>Table5[[#This Row],[$+Warr]]/Table5[[#This Row],[SizTB]]</f>
        <v>57.494999999999997</v>
      </c>
      <c r="AA51" s="6">
        <f>Table5[[#This Row],[$PerTB]]/CompareWarrYrs</f>
        <v>11.498999999999999</v>
      </c>
      <c r="AB51" s="186"/>
      <c r="AC51" s="187"/>
      <c r="AD51" s="44"/>
    </row>
    <row r="52" spans="1:30" x14ac:dyDescent="0.25">
      <c r="A52" s="1">
        <v>43080</v>
      </c>
      <c r="B52" t="s">
        <v>10</v>
      </c>
      <c r="C52" s="116" t="s">
        <v>104</v>
      </c>
      <c r="D52" s="31" t="s">
        <v>50</v>
      </c>
      <c r="E52" s="99">
        <v>3.5</v>
      </c>
      <c r="F52" s="85">
        <v>4</v>
      </c>
      <c r="G52" s="46">
        <v>7200</v>
      </c>
      <c r="H52" s="5">
        <v>4.16</v>
      </c>
      <c r="I52" s="5"/>
      <c r="J52" s="65">
        <f>(Table5[[#This Row],[RPM]]/5400-1)</f>
        <v>0.33333333333333326</v>
      </c>
      <c r="K52" s="49">
        <v>226</v>
      </c>
      <c r="L52">
        <v>5</v>
      </c>
      <c r="M52" s="40"/>
      <c r="N52">
        <v>550</v>
      </c>
      <c r="O52" s="40">
        <v>2000000</v>
      </c>
      <c r="P52" s="39">
        <v>1000000000000000</v>
      </c>
      <c r="Q52" s="57"/>
      <c r="R52" s="5">
        <v>6.94</v>
      </c>
      <c r="S52" s="5">
        <v>5.45</v>
      </c>
      <c r="T52" s="129">
        <v>0.6</v>
      </c>
      <c r="U52" s="133">
        <f>(((Table5[[#This Row],[Watts Active]]*Power_On_Hours_Year/1000)*Active_Duty_Cycle)+((Table5[[#This Row],[Watts Idle]]*Power_On_Hours_Year/1000)*(100%-Active_Duty_Cycle)))*CostPerKWH</f>
        <v>6.2981985600000003</v>
      </c>
      <c r="V52" s="168">
        <f>Table5[Energy$year]/Table5[[#This Row],[SizTB]]</f>
        <v>1.5745496400000001</v>
      </c>
      <c r="W52" s="167">
        <v>169.99</v>
      </c>
      <c r="X52" s="6">
        <f>Table5[[#This Row],[Cost]]/Table5[[#This Row],[SizTB]]*Exchange_Rate</f>
        <v>42.497500000000002</v>
      </c>
      <c r="Y52" s="172">
        <f>Table5[[#This Row],[Cost]]+((CompareWarrYrs-Table5[[#This Row],[S]])*(Incremental_Warr_Yr*Table5[[#This Row],[Cost]]))*Exchange_Rate</f>
        <v>169.99</v>
      </c>
      <c r="Z52" s="6">
        <f>Table5[[#This Row],[$+Warr]]/Table5[[#This Row],[SizTB]]</f>
        <v>42.497500000000002</v>
      </c>
      <c r="AA52" s="6">
        <f>Table5[[#This Row],[$PerTB]]/CompareWarrYrs</f>
        <v>8.4995000000000012</v>
      </c>
      <c r="AB52" s="186"/>
      <c r="AC52" s="187"/>
      <c r="AD52" s="44"/>
    </row>
    <row r="53" spans="1:30" x14ac:dyDescent="0.25">
      <c r="A53" s="1">
        <v>43080</v>
      </c>
      <c r="B53" t="s">
        <v>10</v>
      </c>
      <c r="C53" s="116" t="s">
        <v>104</v>
      </c>
      <c r="D53" s="31" t="s">
        <v>50</v>
      </c>
      <c r="E53" s="99">
        <v>3.5</v>
      </c>
      <c r="F53" s="85">
        <v>6</v>
      </c>
      <c r="G53" s="46">
        <v>7200</v>
      </c>
      <c r="H53" s="5">
        <v>4.16</v>
      </c>
      <c r="I53" s="5"/>
      <c r="J53" s="65">
        <f>(Table5[[#This Row],[RPM]]/5400-1)</f>
        <v>0.33333333333333326</v>
      </c>
      <c r="K53" s="49">
        <v>226</v>
      </c>
      <c r="L53">
        <v>5</v>
      </c>
      <c r="M53" s="40"/>
      <c r="N53">
        <v>550</v>
      </c>
      <c r="O53" s="40">
        <v>2000000</v>
      </c>
      <c r="P53" s="39">
        <v>1000000000000000</v>
      </c>
      <c r="Q53" s="57"/>
      <c r="R53" s="5">
        <v>8.59</v>
      </c>
      <c r="S53" s="5">
        <v>6.26</v>
      </c>
      <c r="T53" s="129">
        <v>0.6</v>
      </c>
      <c r="U53" s="133">
        <f>(((Table5[[#This Row],[Watts Active]]*Power_On_Hours_Year/1000)*Active_Duty_Cycle)+((Table5[[#This Row],[Watts Idle]]*Power_On_Hours_Year/1000)*(100%-Active_Duty_Cycle)))*CostPerKWH</f>
        <v>7.3698127200000005</v>
      </c>
      <c r="V53" s="168">
        <f>Table5[Energy$year]/Table5[[#This Row],[SizTB]]</f>
        <v>1.2283021200000002</v>
      </c>
      <c r="W53" s="167">
        <v>203.99</v>
      </c>
      <c r="X53" s="6">
        <f>Table5[[#This Row],[Cost]]/Table5[[#This Row],[SizTB]]*Exchange_Rate</f>
        <v>33.998333333333335</v>
      </c>
      <c r="Y53" s="172">
        <f>Table5[[#This Row],[Cost]]+((CompareWarrYrs-Table5[[#This Row],[S]])*(Incremental_Warr_Yr*Table5[[#This Row],[Cost]]))*Exchange_Rate</f>
        <v>203.99</v>
      </c>
      <c r="Z53" s="6">
        <f>Table5[[#This Row],[$+Warr]]/Table5[[#This Row],[SizTB]]</f>
        <v>33.998333333333335</v>
      </c>
      <c r="AA53" s="6">
        <f>Table5[[#This Row],[$PerTB]]/CompareWarrYrs</f>
        <v>6.799666666666667</v>
      </c>
      <c r="AB53" s="186"/>
      <c r="AC53" s="187"/>
      <c r="AD53" s="44"/>
    </row>
    <row r="54" spans="1:30" x14ac:dyDescent="0.25">
      <c r="A54" s="1">
        <v>43080</v>
      </c>
      <c r="B54" t="s">
        <v>10</v>
      </c>
      <c r="C54" s="116" t="s">
        <v>104</v>
      </c>
      <c r="D54" s="31" t="s">
        <v>50</v>
      </c>
      <c r="E54" s="99">
        <v>3.5</v>
      </c>
      <c r="F54" s="85">
        <v>8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249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11</v>
      </c>
      <c r="S54" s="5">
        <v>7.6</v>
      </c>
      <c r="T54" s="129">
        <v>0.6</v>
      </c>
      <c r="U54" s="133">
        <f>(((Table5[[#This Row],[Watts Active]]*Power_On_Hours_Year/1000)*Active_Duty_Cycle)+((Table5[[#This Row],[Watts Idle]]*Power_On_Hours_Year/1000)*(100%-Active_Duty_Cycle)))*CostPerKWH</f>
        <v>9.0725616000000002</v>
      </c>
      <c r="V54" s="168">
        <f>Table5[Energy$year]/Table5[[#This Row],[SizTB]]</f>
        <v>1.1340702</v>
      </c>
      <c r="W54" s="167">
        <v>259.99</v>
      </c>
      <c r="X54" s="6">
        <f>Table5[[#This Row],[Cost]]/Table5[[#This Row],[SizTB]]*Exchange_Rate</f>
        <v>32.498750000000001</v>
      </c>
      <c r="Y54" s="172">
        <f>Table5[[#This Row],[Cost]]+((CompareWarrYrs-Table5[[#This Row],[S]])*(Incremental_Warr_Yr*Table5[[#This Row],[Cost]]))*Exchange_Rate</f>
        <v>259.99</v>
      </c>
      <c r="Z54" s="6">
        <f>Table5[[#This Row],[$+Warr]]/Table5[[#This Row],[SizTB]]</f>
        <v>32.498750000000001</v>
      </c>
      <c r="AA54" s="6">
        <f>Table5[[#This Row],[$PerTB]]/CompareWarrYrs</f>
        <v>6.4997500000000006</v>
      </c>
      <c r="AB54" s="186"/>
      <c r="AC54" s="187"/>
      <c r="AD54" s="44"/>
    </row>
    <row r="55" spans="1:30" x14ac:dyDescent="0.25">
      <c r="A55" s="1">
        <v>43027</v>
      </c>
      <c r="B55" t="s">
        <v>10</v>
      </c>
      <c r="C55" s="116" t="s">
        <v>111</v>
      </c>
      <c r="D55" s="119" t="s">
        <v>50</v>
      </c>
      <c r="E55" s="99">
        <v>3.5</v>
      </c>
      <c r="F55" s="85">
        <v>8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237</v>
      </c>
      <c r="L55">
        <v>5</v>
      </c>
      <c r="M55" s="40">
        <v>600000</v>
      </c>
      <c r="N55">
        <v>550</v>
      </c>
      <c r="O55" s="40">
        <v>2500000</v>
      </c>
      <c r="P55" s="39">
        <v>1000000000000000</v>
      </c>
      <c r="Q55" s="57">
        <v>26.21</v>
      </c>
      <c r="R55" s="5">
        <v>7.8</v>
      </c>
      <c r="S55" s="43">
        <v>5</v>
      </c>
      <c r="T55" s="129">
        <v>0.8</v>
      </c>
      <c r="U55" s="133">
        <f>(((Table5[[#This Row],[Watts Active]]*Power_On_Hours_Year/1000)*Active_Duty_Cycle)+((Table5[[#This Row],[Watts Idle]]*Power_On_Hours_Year/1000)*(100%-Active_Duty_Cycle)))*CostPerKWH</f>
        <v>6.0922032000000002</v>
      </c>
      <c r="V55" s="168">
        <f>Table5[Energy$year]/Table5[[#This Row],[SizTB]]</f>
        <v>0.76152540000000002</v>
      </c>
      <c r="W55">
        <v>259.99</v>
      </c>
      <c r="X55" s="6">
        <f>Table5[[#This Row],[Cost]]/Table5[[#This Row],[SizTB]]*Exchange_Rate</f>
        <v>32.498750000000001</v>
      </c>
      <c r="Y55" s="172">
        <f>Table5[[#This Row],[Cost]]+((CompareWarrYrs-Table5[[#This Row],[S]])*(Incremental_Warr_Yr*Table5[[#This Row],[Cost]]))*Exchange_Rate</f>
        <v>259.99</v>
      </c>
      <c r="Z55" s="6">
        <f>Table5[[#This Row],[$+Warr]]/Table5[[#This Row],[SizTB]]</f>
        <v>32.498750000000001</v>
      </c>
      <c r="AA55" s="6">
        <f>Table5[[#This Row],[$PerTB]]/CompareWarrYrs</f>
        <v>6.4997500000000006</v>
      </c>
      <c r="AB55" s="186"/>
      <c r="AC55" s="187"/>
      <c r="AD55" s="44" t="s">
        <v>38</v>
      </c>
    </row>
    <row r="56" spans="1:30" x14ac:dyDescent="0.25">
      <c r="A56" s="1">
        <v>43027</v>
      </c>
      <c r="B56" t="s">
        <v>10</v>
      </c>
      <c r="C56" s="116" t="s">
        <v>111</v>
      </c>
      <c r="D56" s="119" t="s">
        <v>50</v>
      </c>
      <c r="E56" s="99">
        <v>3.5</v>
      </c>
      <c r="F56" s="85">
        <v>10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237</v>
      </c>
      <c r="L56">
        <v>5</v>
      </c>
      <c r="M56" s="40">
        <v>600000</v>
      </c>
      <c r="N56">
        <v>550</v>
      </c>
      <c r="O56" s="40">
        <v>2500000</v>
      </c>
      <c r="P56" s="39">
        <v>1000000000000000</v>
      </c>
      <c r="Q56" s="57">
        <f>0.58*5+1.94*12</f>
        <v>26.18</v>
      </c>
      <c r="R56" s="5">
        <v>7.8</v>
      </c>
      <c r="S56" s="43">
        <v>5</v>
      </c>
      <c r="T56" s="129">
        <v>0.8</v>
      </c>
      <c r="U56" s="133">
        <f>(((Table5[[#This Row],[Watts Active]]*Power_On_Hours_Year/1000)*Active_Duty_Cycle)+((Table5[[#This Row],[Watts Idle]]*Power_On_Hours_Year/1000)*(100%-Active_Duty_Cycle)))*CostPerKWH</f>
        <v>6.0922032000000002</v>
      </c>
      <c r="V56" s="168">
        <f>Table5[Energy$year]/Table5[[#This Row],[SizTB]]</f>
        <v>0.60922032000000004</v>
      </c>
      <c r="W56" s="166">
        <v>364.99</v>
      </c>
      <c r="X56" s="6">
        <f>Table5[[#This Row],[Cost]]/Table5[[#This Row],[SizTB]]*Exchange_Rate</f>
        <v>36.499000000000002</v>
      </c>
      <c r="Y56" s="172">
        <f>Table5[[#This Row],[Cost]]+((CompareWarrYrs-Table5[[#This Row],[S]])*(Incremental_Warr_Yr*Table5[[#This Row],[Cost]]))*Exchange_Rate</f>
        <v>364.99</v>
      </c>
      <c r="Z56" s="6">
        <f>Table5[[#This Row],[$+Warr]]/Table5[[#This Row],[SizTB]]</f>
        <v>36.499000000000002</v>
      </c>
      <c r="AA56" s="6">
        <f>Table5[[#This Row],[$PerTB]]/CompareWarrYrs</f>
        <v>7.2998000000000003</v>
      </c>
      <c r="AB56" s="186"/>
      <c r="AC56" s="187"/>
      <c r="AD56" s="44" t="s">
        <v>38</v>
      </c>
    </row>
    <row r="57" spans="1:30" x14ac:dyDescent="0.25">
      <c r="A57" s="1">
        <v>43080</v>
      </c>
      <c r="B57" t="s">
        <v>10</v>
      </c>
      <c r="C57" s="116" t="s">
        <v>110</v>
      </c>
      <c r="D57" s="119" t="s">
        <v>50</v>
      </c>
      <c r="E57" s="99">
        <v>3.5</v>
      </c>
      <c r="F57" s="85">
        <v>12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261</v>
      </c>
      <c r="L57">
        <v>5</v>
      </c>
      <c r="M57" s="40">
        <v>600000</v>
      </c>
      <c r="N57">
        <v>550</v>
      </c>
      <c r="O57" s="40">
        <v>2500000</v>
      </c>
      <c r="P57" s="39">
        <v>1000000000000000</v>
      </c>
      <c r="Q57" s="57">
        <f>0.914*5+1.729*12</f>
        <v>25.318000000000001</v>
      </c>
      <c r="R57" s="5">
        <v>7.8</v>
      </c>
      <c r="S57" s="43">
        <v>5</v>
      </c>
      <c r="T57" s="129">
        <v>1.1499999999999999</v>
      </c>
      <c r="U57" s="133">
        <f>(((Table5[[#This Row],[Watts Active]]*Power_On_Hours_Year/1000)*Active_Duty_Cycle)+((Table5[[#This Row],[Watts Idle]]*Power_On_Hours_Year/1000)*(100%-Active_Duty_Cycle)))*CostPerKWH</f>
        <v>6.0922032000000002</v>
      </c>
      <c r="V57" s="168">
        <f>Table5[Energy$year]/Table5[[#This Row],[SizTB]]</f>
        <v>0.50768360000000001</v>
      </c>
      <c r="W57" s="167">
        <v>461.98</v>
      </c>
      <c r="X57" s="6">
        <f>Table5[[#This Row],[Cost]]/Table5[[#This Row],[SizTB]]*Exchange_Rate</f>
        <v>38.498333333333335</v>
      </c>
      <c r="Y57" s="172">
        <f>Table5[[#This Row],[Cost]]+((CompareWarrYrs-Table5[[#This Row],[S]])*(Incremental_Warr_Yr*Table5[[#This Row],[Cost]]))*Exchange_Rate</f>
        <v>461.98</v>
      </c>
      <c r="Z57" s="6">
        <f>Table5[[#This Row],[$+Warr]]/Table5[[#This Row],[SizTB]]</f>
        <v>38.498333333333335</v>
      </c>
      <c r="AA57" s="6">
        <f>Table5[[#This Row],[$PerTB]]/CompareWarrYrs</f>
        <v>7.6996666666666673</v>
      </c>
      <c r="AB57" s="186"/>
      <c r="AC57" s="187"/>
      <c r="AD57" s="44" t="s">
        <v>38</v>
      </c>
    </row>
    <row r="58" spans="1:30" x14ac:dyDescent="0.25">
      <c r="A58" s="1">
        <v>43044</v>
      </c>
      <c r="B58" t="s">
        <v>10</v>
      </c>
      <c r="C58" s="116" t="s">
        <v>44</v>
      </c>
      <c r="D58" s="31" t="s">
        <v>130</v>
      </c>
      <c r="E58" s="99">
        <v>3.5</v>
      </c>
      <c r="F58" s="85">
        <v>1</v>
      </c>
      <c r="G58" s="46">
        <v>7200</v>
      </c>
      <c r="H58" s="5"/>
      <c r="I58" s="5"/>
      <c r="J58" s="65">
        <f>(Table5[[#This Row],[RPM]]/5400-1)</f>
        <v>0.33333333333333326</v>
      </c>
      <c r="K58" s="49"/>
      <c r="L58">
        <v>5</v>
      </c>
      <c r="M58" s="40"/>
      <c r="O58" s="40"/>
      <c r="P58" s="39"/>
      <c r="Q58" s="57">
        <v>24</v>
      </c>
      <c r="R58" s="5">
        <v>5.9</v>
      </c>
      <c r="S58" s="5">
        <v>4.5</v>
      </c>
      <c r="T58" s="129">
        <v>0.63</v>
      </c>
      <c r="U58" s="133">
        <f>(((Table5[[#This Row],[Watts Active]]*Power_On_Hours_Year/1000)*Active_Duty_Cycle)+((Table5[[#This Row],[Watts Idle]]*Power_On_Hours_Year/1000)*(100%-Active_Duty_Cycle)))*CostPerKWH</f>
        <v>5.2375416000000001</v>
      </c>
      <c r="V58" s="168">
        <f>Table5[Energy$year]/Table5[[#This Row],[SizTB]]</f>
        <v>5.2375416000000001</v>
      </c>
      <c r="W58" s="166">
        <v>87.22</v>
      </c>
      <c r="X58" s="6">
        <f>Table5[[#This Row],[Cost]]/Table5[[#This Row],[SizTB]]*Exchange_Rate</f>
        <v>87.22</v>
      </c>
      <c r="Y58" s="172">
        <f>Table5[[#This Row],[Cost]]+((CompareWarrYrs-Table5[[#This Row],[S]])*(Incremental_Warr_Yr*Table5[[#This Row],[Cost]]))*Exchange_Rate</f>
        <v>87.22</v>
      </c>
      <c r="Z58" s="6">
        <f>Table5[[#This Row],[$+Warr]]/Table5[[#This Row],[SizTB]]</f>
        <v>87.22</v>
      </c>
      <c r="AA58" s="6">
        <f>Table5[[#This Row],[$PerTB]]/CompareWarrYrs</f>
        <v>17.443999999999999</v>
      </c>
      <c r="AB58" s="186"/>
      <c r="AC58" s="187"/>
      <c r="AD58" s="44" t="s">
        <v>45</v>
      </c>
    </row>
    <row r="59" spans="1:30" x14ac:dyDescent="0.25">
      <c r="A59" s="1">
        <v>43088</v>
      </c>
      <c r="B59" t="s">
        <v>10</v>
      </c>
      <c r="C59" s="116" t="s">
        <v>44</v>
      </c>
      <c r="D59" s="31" t="s">
        <v>130</v>
      </c>
      <c r="E59" s="99">
        <v>3.5</v>
      </c>
      <c r="F59" s="85">
        <v>2</v>
      </c>
      <c r="G59" s="46">
        <v>7200</v>
      </c>
      <c r="H59" s="5"/>
      <c r="I59" s="5"/>
      <c r="J59" s="65">
        <f>(Table5[[#This Row],[RPM]]/5400-1)</f>
        <v>0.33333333333333326</v>
      </c>
      <c r="K59" s="49"/>
      <c r="L59">
        <v>5</v>
      </c>
      <c r="M59" s="40"/>
      <c r="O59" s="40"/>
      <c r="P59" s="39"/>
      <c r="Q59" s="57">
        <v>24</v>
      </c>
      <c r="R59" s="5">
        <v>6.7</v>
      </c>
      <c r="S59" s="5">
        <v>3.36</v>
      </c>
      <c r="T59" s="129">
        <v>0.75</v>
      </c>
      <c r="U59" s="133">
        <f>(((Table5[[#This Row],[Watts Active]]*Power_On_Hours_Year/1000)*Active_Duty_Cycle)+((Table5[[#This Row],[Watts Idle]]*Power_On_Hours_Year/1000)*(100%-Active_Duty_Cycle)))*CostPerKWH</f>
        <v>4.4135601600000003</v>
      </c>
      <c r="V59" s="168">
        <f>Table5[Energy$year]/Table5[[#This Row],[SizTB]]</f>
        <v>2.2067800800000001</v>
      </c>
      <c r="W59" s="167">
        <v>99.99</v>
      </c>
      <c r="X59" s="6">
        <f>Table5[[#This Row],[Cost]]/Table5[[#This Row],[SizTB]]*Exchange_Rate</f>
        <v>49.994999999999997</v>
      </c>
      <c r="Y59" s="172">
        <f>Table5[[#This Row],[Cost]]+((CompareWarrYrs-Table5[[#This Row],[S]])*(Incremental_Warr_Yr*Table5[[#This Row],[Cost]]))*Exchange_Rate</f>
        <v>99.99</v>
      </c>
      <c r="Z59" s="6">
        <f>Table5[[#This Row],[$+Warr]]/Table5[[#This Row],[SizTB]]</f>
        <v>49.994999999999997</v>
      </c>
      <c r="AA59" s="6">
        <f>Table5[[#This Row],[$PerTB]]/CompareWarrYrs</f>
        <v>9.9989999999999988</v>
      </c>
      <c r="AB59" s="186"/>
      <c r="AC59" s="187"/>
      <c r="AD59" s="44" t="s">
        <v>45</v>
      </c>
    </row>
    <row r="60" spans="1:30" x14ac:dyDescent="0.25">
      <c r="A60" s="1">
        <v>43044</v>
      </c>
      <c r="B60" t="s">
        <v>10</v>
      </c>
      <c r="C60" s="116" t="s">
        <v>44</v>
      </c>
      <c r="D60" s="31" t="s">
        <v>129</v>
      </c>
      <c r="E60" s="99">
        <v>2.5</v>
      </c>
      <c r="F60" s="85">
        <v>1</v>
      </c>
      <c r="G60" s="46">
        <v>5400</v>
      </c>
      <c r="H60" s="5"/>
      <c r="I60" s="5"/>
      <c r="J60" s="65">
        <f>(Table5[[#This Row],[RPM]]/5400-1)</f>
        <v>0</v>
      </c>
      <c r="K60" s="49"/>
      <c r="L60">
        <v>5</v>
      </c>
      <c r="M60" s="40"/>
      <c r="O60" s="40"/>
      <c r="P60" s="39"/>
      <c r="Q60" s="57">
        <v>5</v>
      </c>
      <c r="R60" s="5">
        <v>1.7</v>
      </c>
      <c r="S60" s="5">
        <v>1.45</v>
      </c>
      <c r="T60" s="129"/>
      <c r="U60" s="133">
        <f>(((Table5[[#This Row],[Watts Active]]*Power_On_Hours_Year/1000)*Active_Duty_Cycle)+((Table5[[#This Row],[Watts Idle]]*Power_On_Hours_Year/1000)*(100%-Active_Duty_Cycle)))*CostPerKWH</f>
        <v>1.64358</v>
      </c>
      <c r="V60" s="168">
        <f>Table5[Energy$year]/Table5[[#This Row],[SizTB]]</f>
        <v>1.64358</v>
      </c>
      <c r="W60" s="166">
        <v>68.319999999999993</v>
      </c>
      <c r="X60" s="6">
        <f>Table5[[#This Row],[Cost]]/Table5[[#This Row],[SizTB]]*Exchange_Rate</f>
        <v>68.319999999999993</v>
      </c>
      <c r="Y60" s="172">
        <f>Table5[[#This Row],[Cost]]+((CompareWarrYrs-Table5[[#This Row],[S]])*(Incremental_Warr_Yr*Table5[[#This Row],[Cost]]))*Exchange_Rate</f>
        <v>68.319999999999993</v>
      </c>
      <c r="Z60" s="6">
        <f>Table5[[#This Row],[$+Warr]]/Table5[[#This Row],[SizTB]]</f>
        <v>68.319999999999993</v>
      </c>
      <c r="AA60" s="6">
        <f>Table5[[#This Row],[$PerTB]]/CompareWarrYrs</f>
        <v>13.663999999999998</v>
      </c>
      <c r="AB60" s="186"/>
      <c r="AC60" s="187"/>
      <c r="AD60" s="44" t="s">
        <v>45</v>
      </c>
    </row>
    <row r="61" spans="1:30" x14ac:dyDescent="0.25">
      <c r="A61" s="1">
        <v>43088</v>
      </c>
      <c r="B61" t="s">
        <v>10</v>
      </c>
      <c r="C61" s="116" t="s">
        <v>44</v>
      </c>
      <c r="D61" s="31" t="s">
        <v>129</v>
      </c>
      <c r="E61" s="99">
        <v>2.5</v>
      </c>
      <c r="F61" s="85">
        <v>2</v>
      </c>
      <c r="G61" s="46">
        <v>5400</v>
      </c>
      <c r="H61" s="5"/>
      <c r="I61" s="5"/>
      <c r="J61" s="65">
        <f>(Table5[[#This Row],[RPM]]/5400-1)</f>
        <v>0</v>
      </c>
      <c r="K61" s="49"/>
      <c r="L61">
        <v>5</v>
      </c>
      <c r="M61" s="40"/>
      <c r="O61" s="40"/>
      <c r="P61" s="39"/>
      <c r="Q61" s="57">
        <v>5</v>
      </c>
      <c r="R61" s="5">
        <v>1.8</v>
      </c>
      <c r="S61" s="5">
        <v>1.5</v>
      </c>
      <c r="T61" s="129"/>
      <c r="U61" s="133">
        <f>(((Table5[[#This Row],[Watts Active]]*Power_On_Hours_Year/1000)*Active_Duty_Cycle)+((Table5[[#This Row],[Watts Idle]]*Power_On_Hours_Year/1000)*(100%-Active_Duty_Cycle)))*CostPerKWH</f>
        <v>1.7093232</v>
      </c>
      <c r="V61" s="168">
        <f>Table5[Energy$year]/Table5[[#This Row],[SizTB]]</f>
        <v>0.85466160000000002</v>
      </c>
      <c r="W61" s="167">
        <v>84.99</v>
      </c>
      <c r="X61" s="6">
        <f>Table5[[#This Row],[Cost]]/Table5[[#This Row],[SizTB]]*Exchange_Rate</f>
        <v>42.494999999999997</v>
      </c>
      <c r="Y61" s="172">
        <f>Table5[[#This Row],[Cost]]+((CompareWarrYrs-Table5[[#This Row],[S]])*(Incremental_Warr_Yr*Table5[[#This Row],[Cost]]))*Exchange_Rate</f>
        <v>84.99</v>
      </c>
      <c r="Z61" s="6">
        <f>Table5[[#This Row],[$+Warr]]/Table5[[#This Row],[SizTB]]</f>
        <v>42.494999999999997</v>
      </c>
      <c r="AA61" s="6">
        <f>Table5[[#This Row],[$PerTB]]/CompareWarrYrs</f>
        <v>8.4989999999999988</v>
      </c>
      <c r="AB61" s="186"/>
      <c r="AC61" s="187"/>
      <c r="AD61" s="44" t="s">
        <v>45</v>
      </c>
    </row>
    <row r="62" spans="1:30" x14ac:dyDescent="0.25">
      <c r="A62" s="1">
        <v>43080</v>
      </c>
      <c r="B62" t="s">
        <v>10</v>
      </c>
      <c r="C62" s="116" t="s">
        <v>13</v>
      </c>
      <c r="D62" s="31" t="s">
        <v>50</v>
      </c>
      <c r="E62" s="99">
        <v>3.5</v>
      </c>
      <c r="F62" s="85">
        <v>1</v>
      </c>
      <c r="G62" s="46">
        <v>5900</v>
      </c>
      <c r="H62" s="5">
        <v>5.0999999999999996</v>
      </c>
      <c r="I62" s="5">
        <v>11.99</v>
      </c>
      <c r="J62" s="65">
        <f>(Table5[[#This Row],[RPM]]/5400-1)</f>
        <v>9.259259259259256E-2</v>
      </c>
      <c r="K62" s="49">
        <v>180</v>
      </c>
      <c r="L62">
        <v>3</v>
      </c>
      <c r="M62" s="40">
        <v>600000</v>
      </c>
      <c r="N62">
        <v>180</v>
      </c>
      <c r="O62" s="40">
        <v>1000000</v>
      </c>
      <c r="P62" s="39">
        <f t="shared" ref="P62:P65" si="5">10^14</f>
        <v>100000000000000</v>
      </c>
      <c r="Q62" s="57">
        <f>12*1.2</f>
        <v>14.399999999999999</v>
      </c>
      <c r="R62" s="5">
        <v>3.76</v>
      </c>
      <c r="S62" s="5">
        <v>2.5</v>
      </c>
      <c r="T62" s="129">
        <v>0.8</v>
      </c>
      <c r="U62" s="133">
        <f>(((Table5[[#This Row],[Watts Active]]*Power_On_Hours_Year/1000)*Active_Duty_Cycle)+((Table5[[#This Row],[Watts Idle]]*Power_On_Hours_Year/1000)*(100%-Active_Duty_Cycle)))*CostPerKWH</f>
        <v>3.0154214399999999</v>
      </c>
      <c r="V62" s="168">
        <f>Table5[Energy$year]/Table5[[#This Row],[SizTB]]</f>
        <v>3.0154214399999999</v>
      </c>
      <c r="W62" s="167">
        <v>54.99</v>
      </c>
      <c r="X62" s="6">
        <f>Table5[[#This Row],[Cost]]/Table5[[#This Row],[SizTB]]*Exchange_Rate</f>
        <v>54.99</v>
      </c>
      <c r="Y62" s="172">
        <f>Table5[[#This Row],[Cost]]+((CompareWarrYrs-Table5[[#This Row],[S]])*(Incremental_Warr_Yr*Table5[[#This Row],[Cost]]))*Exchange_Rate</f>
        <v>67.087800000000001</v>
      </c>
      <c r="Z62" s="6">
        <f>Table5[[#This Row],[$+Warr]]/Table5[[#This Row],[SizTB]]</f>
        <v>67.087800000000001</v>
      </c>
      <c r="AA62" s="6">
        <f>Table5[[#This Row],[$PerTB]]/CompareWarrYrs</f>
        <v>13.41756</v>
      </c>
      <c r="AB62" s="186"/>
      <c r="AC62" s="187"/>
      <c r="AD62" s="44" t="s">
        <v>45</v>
      </c>
    </row>
    <row r="63" spans="1:30" x14ac:dyDescent="0.25">
      <c r="A63" s="1">
        <v>43053</v>
      </c>
      <c r="B63" t="s">
        <v>10</v>
      </c>
      <c r="C63" s="116" t="s">
        <v>13</v>
      </c>
      <c r="D63" s="31" t="s">
        <v>50</v>
      </c>
      <c r="E63" s="99">
        <v>3.5</v>
      </c>
      <c r="F63" s="85">
        <v>2</v>
      </c>
      <c r="G63" s="46">
        <v>5900</v>
      </c>
      <c r="H63" s="5">
        <v>5.0999999999999996</v>
      </c>
      <c r="I63" s="5">
        <v>11.99</v>
      </c>
      <c r="J63" s="65">
        <f>(Table5[[#This Row],[RPM]]/5400-1)</f>
        <v>9.259259259259256E-2</v>
      </c>
      <c r="K63" s="49">
        <v>180</v>
      </c>
      <c r="L63">
        <v>3</v>
      </c>
      <c r="M63" s="40">
        <v>600000</v>
      </c>
      <c r="N63">
        <v>180</v>
      </c>
      <c r="O63" s="40">
        <v>1000000</v>
      </c>
      <c r="P63" s="39">
        <f t="shared" si="5"/>
        <v>100000000000000</v>
      </c>
      <c r="Q63" s="57">
        <f>12*2</f>
        <v>24</v>
      </c>
      <c r="R63" s="5">
        <v>4.3</v>
      </c>
      <c r="S63" s="5">
        <v>3.56</v>
      </c>
      <c r="T63" s="129">
        <v>0.8</v>
      </c>
      <c r="U63" s="133">
        <f>(((Table5[[#This Row],[Watts Active]]*Power_On_Hours_Year/1000)*Active_Duty_Cycle)+((Table5[[#This Row],[Watts Idle]]*Power_On_Hours_Year/1000)*(100%-Active_Duty_Cycle)))*CostPerKWH</f>
        <v>4.0629297600000003</v>
      </c>
      <c r="V63" s="168">
        <f>Table5[Energy$year]/Table5[[#This Row],[SizTB]]</f>
        <v>2.0314648800000001</v>
      </c>
      <c r="W63" s="167">
        <v>84.99</v>
      </c>
      <c r="X63" s="6">
        <f>Table5[[#This Row],[Cost]]/Table5[[#This Row],[SizTB]]*Exchange_Rate</f>
        <v>42.494999999999997</v>
      </c>
      <c r="Y63" s="172">
        <f>Table5[[#This Row],[Cost]]+((CompareWarrYrs-Table5[[#This Row],[S]])*(Incremental_Warr_Yr*Table5[[#This Row],[Cost]]))*Exchange_Rate</f>
        <v>103.6878</v>
      </c>
      <c r="Z63" s="6">
        <f>Table5[[#This Row],[$+Warr]]/Table5[[#This Row],[SizTB]]</f>
        <v>51.843899999999998</v>
      </c>
      <c r="AA63" s="6">
        <f>Table5[[#This Row],[$PerTB]]/CompareWarrYrs</f>
        <v>10.368779999999999</v>
      </c>
      <c r="AB63" s="186"/>
      <c r="AC63" s="187"/>
      <c r="AD63" s="44"/>
    </row>
    <row r="64" spans="1:30" x14ac:dyDescent="0.25">
      <c r="A64" s="1">
        <v>43053</v>
      </c>
      <c r="B64" t="s">
        <v>10</v>
      </c>
      <c r="C64" s="116" t="s">
        <v>13</v>
      </c>
      <c r="D64" s="31" t="s">
        <v>50</v>
      </c>
      <c r="E64" s="99">
        <v>3.5</v>
      </c>
      <c r="F64" s="85">
        <v>3</v>
      </c>
      <c r="G64" s="46">
        <v>5900</v>
      </c>
      <c r="H64" s="5">
        <v>5.0999999999999996</v>
      </c>
      <c r="I64" s="5">
        <v>11.99</v>
      </c>
      <c r="J64" s="65">
        <f>(Table5[[#This Row],[RPM]]/5400-1)</f>
        <v>9.259259259259256E-2</v>
      </c>
      <c r="K64" s="49">
        <v>180</v>
      </c>
      <c r="L64">
        <v>3</v>
      </c>
      <c r="M64" s="40">
        <v>600000</v>
      </c>
      <c r="N64">
        <v>180</v>
      </c>
      <c r="O64" s="40">
        <v>1000000</v>
      </c>
      <c r="P64" s="39">
        <f t="shared" si="5"/>
        <v>100000000000000</v>
      </c>
      <c r="Q64" s="57">
        <f>12*2</f>
        <v>24</v>
      </c>
      <c r="R64" s="5">
        <v>4.8</v>
      </c>
      <c r="S64" s="5">
        <v>4.8</v>
      </c>
      <c r="T64" s="129">
        <v>0.6</v>
      </c>
      <c r="U64" s="133">
        <f>(((Table5[[#This Row],[Watts Active]]*Power_On_Hours_Year/1000)*Active_Duty_Cycle)+((Table5[[#This Row],[Watts Idle]]*Power_On_Hours_Year/1000)*(100%-Active_Duty_Cycle)))*CostPerKWH</f>
        <v>5.2594560000000001</v>
      </c>
      <c r="V64" s="168">
        <f>Table5[Energy$year]/Table5[[#This Row],[SizTB]]</f>
        <v>1.753152</v>
      </c>
      <c r="W64" s="167">
        <v>104.99</v>
      </c>
      <c r="X64" s="6">
        <f>Table5[[#This Row],[Cost]]/Table5[[#This Row],[SizTB]]*Exchange_Rate</f>
        <v>34.996666666666663</v>
      </c>
      <c r="Y64" s="172">
        <f>Table5[[#This Row],[Cost]]+((CompareWarrYrs-Table5[[#This Row],[S]])*(Incremental_Warr_Yr*Table5[[#This Row],[Cost]]))*Exchange_Rate</f>
        <v>128.08779999999999</v>
      </c>
      <c r="Z64" s="6">
        <f>Table5[[#This Row],[$+Warr]]/Table5[[#This Row],[SizTB]]</f>
        <v>42.695933333333329</v>
      </c>
      <c r="AA64" s="6">
        <f>Table5[[#This Row],[$PerTB]]/CompareWarrYrs</f>
        <v>8.5391866666666658</v>
      </c>
      <c r="AB64" s="186"/>
      <c r="AC64" s="187"/>
      <c r="AD64" s="44"/>
    </row>
    <row r="65" spans="1:30" x14ac:dyDescent="0.25">
      <c r="A65" s="1">
        <v>43088</v>
      </c>
      <c r="B65" t="s">
        <v>10</v>
      </c>
      <c r="C65" s="116" t="s">
        <v>13</v>
      </c>
      <c r="D65" s="31" t="s">
        <v>50</v>
      </c>
      <c r="E65" s="99">
        <v>3.5</v>
      </c>
      <c r="F65" s="85">
        <v>4</v>
      </c>
      <c r="G65" s="46">
        <v>5900</v>
      </c>
      <c r="H65" s="5">
        <v>5.0999999999999996</v>
      </c>
      <c r="I65" s="5">
        <v>9.5</v>
      </c>
      <c r="J65" s="65">
        <f>(Table5[[#This Row],[RPM]]/5400-1)</f>
        <v>9.259259259259256E-2</v>
      </c>
      <c r="K65" s="49">
        <v>180</v>
      </c>
      <c r="L65">
        <v>3</v>
      </c>
      <c r="M65" s="40">
        <v>600000</v>
      </c>
      <c r="N65">
        <v>180</v>
      </c>
      <c r="O65" s="40">
        <v>1000000</v>
      </c>
      <c r="P65" s="39">
        <f t="shared" si="5"/>
        <v>100000000000000</v>
      </c>
      <c r="Q65" s="57">
        <f t="shared" ref="Q65:Q67" si="6">12*1.8</f>
        <v>21.6</v>
      </c>
      <c r="R65" s="5">
        <v>4.8</v>
      </c>
      <c r="S65" s="5">
        <v>3.95</v>
      </c>
      <c r="T65" s="129">
        <v>0.5</v>
      </c>
      <c r="U65" s="133">
        <f>(((Table5[[#This Row],[Watts Active]]*Power_On_Hours_Year/1000)*Active_Duty_Cycle)+((Table5[[#This Row],[Watts Idle]]*Power_On_Hours_Year/1000)*(100%-Active_Duty_Cycle)))*CostPerKWH</f>
        <v>4.5143664000000001</v>
      </c>
      <c r="V65" s="168">
        <f>Table5[Energy$year]/Table5[[#This Row],[SizTB]]</f>
        <v>1.1285916</v>
      </c>
      <c r="W65" s="167">
        <v>114.99</v>
      </c>
      <c r="X65" s="6">
        <f>Table5[[#This Row],[Cost]]/Table5[[#This Row],[SizTB]]*Exchange_Rate</f>
        <v>28.747499999999999</v>
      </c>
      <c r="Y65" s="172">
        <f>Table5[[#This Row],[Cost]]+((CompareWarrYrs-Table5[[#This Row],[S]])*(Incremental_Warr_Yr*Table5[[#This Row],[Cost]]))*Exchange_Rate</f>
        <v>140.2878</v>
      </c>
      <c r="Z65" s="6">
        <f>Table5[[#This Row],[$+Warr]]/Table5[[#This Row],[SizTB]]</f>
        <v>35.071950000000001</v>
      </c>
      <c r="AA65" s="6">
        <f>Table5[[#This Row],[$PerTB]]/CompareWarrYrs</f>
        <v>7.0143900000000006</v>
      </c>
      <c r="AB65" s="186"/>
      <c r="AC65" s="187"/>
      <c r="AD65" s="44"/>
    </row>
    <row r="66" spans="1:30" x14ac:dyDescent="0.25">
      <c r="A66" s="1">
        <v>43080</v>
      </c>
      <c r="B66" t="s">
        <v>10</v>
      </c>
      <c r="C66" s="116" t="s">
        <v>13</v>
      </c>
      <c r="D66" s="31" t="s">
        <v>50</v>
      </c>
      <c r="E66" s="99">
        <v>3.5</v>
      </c>
      <c r="F66" s="85">
        <v>6</v>
      </c>
      <c r="G66" s="46">
        <v>7200</v>
      </c>
      <c r="H66" s="5">
        <v>4</v>
      </c>
      <c r="I66" s="5">
        <v>9.5</v>
      </c>
      <c r="J66" s="65">
        <f>(Table5[[#This Row],[RPM]]/5400-1)</f>
        <v>0.33333333333333326</v>
      </c>
      <c r="K66" s="49">
        <v>210</v>
      </c>
      <c r="L66">
        <v>3</v>
      </c>
      <c r="M66" s="40">
        <v>600000</v>
      </c>
      <c r="N66">
        <v>180</v>
      </c>
      <c r="O66" s="40">
        <v>1000000</v>
      </c>
      <c r="P66" s="39">
        <v>1000000000000000</v>
      </c>
      <c r="Q66" s="57">
        <f t="shared" si="6"/>
        <v>21.6</v>
      </c>
      <c r="R66" s="5">
        <v>8.1</v>
      </c>
      <c r="S66" s="5">
        <v>7.2</v>
      </c>
      <c r="T66" s="129">
        <v>0.6</v>
      </c>
      <c r="U66" s="133">
        <f>(((Table5[[#This Row],[Watts Active]]*Power_On_Hours_Year/1000)*Active_Duty_Cycle)+((Table5[[#This Row],[Watts Idle]]*Power_On_Hours_Year/1000)*(100%-Active_Duty_Cycle)))*CostPerKWH</f>
        <v>8.0864136000000002</v>
      </c>
      <c r="V66" s="168">
        <f>Table5[Energy$year]/Table5[[#This Row],[SizTB]]</f>
        <v>1.3477356</v>
      </c>
      <c r="W66" s="167">
        <v>189.99</v>
      </c>
      <c r="X66" s="6">
        <f>Table5[[#This Row],[Cost]]/Table5[[#This Row],[SizTB]]*Exchange_Rate</f>
        <v>31.665000000000003</v>
      </c>
      <c r="Y66" s="172">
        <f>Table5[[#This Row],[Cost]]+((CompareWarrYrs-Table5[[#This Row],[S]])*(Incremental_Warr_Yr*Table5[[#This Row],[Cost]]))*Exchange_Rate</f>
        <v>231.7878</v>
      </c>
      <c r="Z66" s="6">
        <f>Table5[[#This Row],[$+Warr]]/Table5[[#This Row],[SizTB]]</f>
        <v>38.631300000000003</v>
      </c>
      <c r="AA66" s="6">
        <f>Table5[[#This Row],[$PerTB]]/CompareWarrYrs</f>
        <v>7.7262600000000008</v>
      </c>
      <c r="AB66" s="186"/>
      <c r="AC66" s="187"/>
      <c r="AD66" s="44"/>
    </row>
    <row r="67" spans="1:30" x14ac:dyDescent="0.25">
      <c r="A67" s="1">
        <v>43083</v>
      </c>
      <c r="B67" t="s">
        <v>10</v>
      </c>
      <c r="C67" s="116" t="s">
        <v>13</v>
      </c>
      <c r="D67" s="31" t="s">
        <v>50</v>
      </c>
      <c r="E67" s="99">
        <v>3.5</v>
      </c>
      <c r="F67" s="85">
        <v>8</v>
      </c>
      <c r="G67" s="46">
        <v>7200</v>
      </c>
      <c r="H67" s="5">
        <v>4</v>
      </c>
      <c r="I67" s="5">
        <v>9.5</v>
      </c>
      <c r="J67" s="65">
        <f>(Table5[[#This Row],[RPM]]/5400-1)</f>
        <v>0.33333333333333326</v>
      </c>
      <c r="K67" s="49">
        <v>210</v>
      </c>
      <c r="L67">
        <v>3</v>
      </c>
      <c r="M67" s="40">
        <v>600000</v>
      </c>
      <c r="N67">
        <v>180</v>
      </c>
      <c r="O67" s="40">
        <v>1000000</v>
      </c>
      <c r="P67" s="39">
        <v>1000000000000000</v>
      </c>
      <c r="Q67" s="57">
        <f t="shared" si="6"/>
        <v>21.6</v>
      </c>
      <c r="R67" s="5">
        <v>8.8000000000000007</v>
      </c>
      <c r="S67" s="5">
        <v>7.6</v>
      </c>
      <c r="T67" s="129">
        <v>0.6</v>
      </c>
      <c r="U67" s="133">
        <f>(((Table5[[#This Row],[Watts Active]]*Power_On_Hours_Year/1000)*Active_Duty_Cycle)+((Table5[[#This Row],[Watts Idle]]*Power_On_Hours_Year/1000)*(100%-Active_Duty_Cycle)))*CostPerKWH</f>
        <v>8.5904448000000002</v>
      </c>
      <c r="V67" s="168">
        <f>Table5[Energy$year]/Table5[[#This Row],[SizTB]]</f>
        <v>1.0738056</v>
      </c>
      <c r="W67" s="167">
        <v>229.99</v>
      </c>
      <c r="X67" s="6">
        <f>Table5[[#This Row],[Cost]]/Table5[[#This Row],[SizTB]]*Exchange_Rate</f>
        <v>28.748750000000001</v>
      </c>
      <c r="Y67" s="172">
        <f>Table5[[#This Row],[Cost]]+((CompareWarrYrs-Table5[[#This Row],[S]])*(Incremental_Warr_Yr*Table5[[#This Row],[Cost]]))*Exchange_Rate</f>
        <v>280.58780000000002</v>
      </c>
      <c r="Z67" s="6">
        <f>Table5[[#This Row],[$+Warr]]/Table5[[#This Row],[SizTB]]</f>
        <v>35.073475000000002</v>
      </c>
      <c r="AA67" s="6">
        <f>Table5[[#This Row],[$PerTB]]/CompareWarrYrs</f>
        <v>7.0146950000000006</v>
      </c>
      <c r="AB67" s="186"/>
      <c r="AC67" s="187"/>
      <c r="AD67" s="44"/>
    </row>
    <row r="68" spans="1:30" x14ac:dyDescent="0.25">
      <c r="A68" s="1">
        <v>43064</v>
      </c>
      <c r="B68" t="s">
        <v>10</v>
      </c>
      <c r="C68" s="116" t="s">
        <v>13</v>
      </c>
      <c r="D68" s="31" t="s">
        <v>50</v>
      </c>
      <c r="E68" s="99">
        <v>3.5</v>
      </c>
      <c r="F68" s="85">
        <v>10</v>
      </c>
      <c r="G68" s="46">
        <v>7200</v>
      </c>
      <c r="H68" s="5"/>
      <c r="I68" s="5"/>
      <c r="J68" s="65">
        <f>(Table5[[#This Row],[RPM]]/5400-1)</f>
        <v>0.33333333333333326</v>
      </c>
      <c r="K68" s="49">
        <v>210</v>
      </c>
      <c r="L68">
        <v>3</v>
      </c>
      <c r="M68" s="40">
        <v>600000</v>
      </c>
      <c r="N68">
        <v>180</v>
      </c>
      <c r="O68" s="40">
        <v>1000000</v>
      </c>
      <c r="P68" s="39">
        <v>1000000000000000</v>
      </c>
      <c r="Q68" s="57">
        <f>12*1.8</f>
        <v>21.6</v>
      </c>
      <c r="R68" s="5">
        <v>7.8</v>
      </c>
      <c r="S68" s="5">
        <v>5</v>
      </c>
      <c r="T68" s="129">
        <v>0.8</v>
      </c>
      <c r="U68" s="133">
        <f>(((Table5[[#This Row],[Watts Active]]*Power_On_Hours_Year/1000)*Active_Duty_Cycle)+((Table5[[#This Row],[Watts Idle]]*Power_On_Hours_Year/1000)*(100%-Active_Duty_Cycle)))*CostPerKWH</f>
        <v>6.0922032000000002</v>
      </c>
      <c r="V68" s="168">
        <f>Table5[Energy$year]/Table5[[#This Row],[SizTB]]</f>
        <v>0.60922032000000004</v>
      </c>
      <c r="W68" s="167">
        <v>299.99</v>
      </c>
      <c r="X68" s="6">
        <f>Table5[[#This Row],[Cost]]/Table5[[#This Row],[SizTB]]*Exchange_Rate</f>
        <v>29.999000000000002</v>
      </c>
      <c r="Y68" s="172">
        <f>Table5[[#This Row],[Cost]]+((CompareWarrYrs-Table5[[#This Row],[S]])*(Incremental_Warr_Yr*Table5[[#This Row],[Cost]]))*Exchange_Rate</f>
        <v>365.98779999999999</v>
      </c>
      <c r="Z68" s="6">
        <f>Table5[[#This Row],[$+Warr]]/Table5[[#This Row],[SizTB]]</f>
        <v>36.598779999999998</v>
      </c>
      <c r="AA68" s="6">
        <f>Table5[[#This Row],[$PerTB]]/CompareWarrYrs</f>
        <v>7.3197559999999999</v>
      </c>
      <c r="AB68" s="186"/>
      <c r="AC68" s="187"/>
      <c r="AD68" s="44"/>
    </row>
    <row r="69" spans="1:30" x14ac:dyDescent="0.25">
      <c r="A69" s="1">
        <v>43064</v>
      </c>
      <c r="B69" t="s">
        <v>10</v>
      </c>
      <c r="C69" s="116" t="s">
        <v>13</v>
      </c>
      <c r="D69" s="128" t="s">
        <v>50</v>
      </c>
      <c r="E69" s="99">
        <v>3.5</v>
      </c>
      <c r="F69" s="85">
        <v>12</v>
      </c>
      <c r="G69" s="46">
        <v>7200</v>
      </c>
      <c r="H69" s="5">
        <v>4.16</v>
      </c>
      <c r="I69" s="5"/>
      <c r="J69" s="65">
        <f>(Table5[[#This Row],[RPM]]/5400-1)</f>
        <v>0.33333333333333326</v>
      </c>
      <c r="K69" s="49">
        <v>210</v>
      </c>
      <c r="L69">
        <v>3</v>
      </c>
      <c r="M69" s="40">
        <v>600000</v>
      </c>
      <c r="N69">
        <v>180</v>
      </c>
      <c r="O69" s="40">
        <v>1000000</v>
      </c>
      <c r="P69" s="39">
        <v>1000000000000000</v>
      </c>
      <c r="Q69" s="57">
        <f>1.8*12</f>
        <v>21.6</v>
      </c>
      <c r="R69" s="5">
        <v>7.8</v>
      </c>
      <c r="S69" s="5">
        <v>5</v>
      </c>
      <c r="T69" s="129">
        <v>0.8</v>
      </c>
      <c r="U69" s="133">
        <f>(((Table5[[#This Row],[Watts Active]]*Power_On_Hours_Year/1000)*Active_Duty_Cycle)+((Table5[[#This Row],[Watts Idle]]*Power_On_Hours_Year/1000)*(100%-Active_Duty_Cycle)))*CostPerKWH</f>
        <v>6.0922032000000002</v>
      </c>
      <c r="V69" s="168">
        <f>Table5[Energy$year]/Table5[[#This Row],[SizTB]]</f>
        <v>0.50768360000000001</v>
      </c>
      <c r="W69" s="167">
        <v>396.99</v>
      </c>
      <c r="X69" s="6">
        <f>Table5[[#This Row],[Cost]]/Table5[[#This Row],[SizTB]]*Exchange_Rate</f>
        <v>33.082500000000003</v>
      </c>
      <c r="Y69" s="172">
        <f>Table5[[#This Row],[Cost]]+((CompareWarrYrs-Table5[[#This Row],[S]])*(Incremental_Warr_Yr*Table5[[#This Row],[Cost]]))*Exchange_Rate</f>
        <v>484.32780000000002</v>
      </c>
      <c r="Z69" s="6">
        <f>Table5[[#This Row],[$+Warr]]/Table5[[#This Row],[SizTB]]</f>
        <v>40.36065</v>
      </c>
      <c r="AA69" s="6">
        <f>Table5[[#This Row],[$PerTB]]/CompareWarrYrs</f>
        <v>8.0721299999999996</v>
      </c>
      <c r="AB69" s="186"/>
      <c r="AC69" s="187"/>
      <c r="AD69" s="44"/>
    </row>
    <row r="70" spans="1:30" x14ac:dyDescent="0.25">
      <c r="A70" s="1">
        <v>43053</v>
      </c>
      <c r="B70" t="s">
        <v>10</v>
      </c>
      <c r="C70" s="116" t="s">
        <v>17</v>
      </c>
      <c r="D70" s="31" t="s">
        <v>50</v>
      </c>
      <c r="E70" s="99">
        <v>3.5</v>
      </c>
      <c r="F70" s="85">
        <v>2</v>
      </c>
      <c r="G70" s="46">
        <v>7200</v>
      </c>
      <c r="H70" s="5">
        <v>4.16</v>
      </c>
      <c r="I70" s="5"/>
      <c r="J70" s="65">
        <f>(Table5[[#This Row],[RPM]]/5400-1)</f>
        <v>0.33333333333333326</v>
      </c>
      <c r="K70" s="49">
        <v>195</v>
      </c>
      <c r="L70">
        <v>5</v>
      </c>
      <c r="M70" s="40"/>
      <c r="N70">
        <v>300</v>
      </c>
      <c r="O70" s="40">
        <v>1200000</v>
      </c>
      <c r="P70" s="39">
        <v>1000000000000000</v>
      </c>
      <c r="Q70" s="57">
        <f>12*2</f>
        <v>24</v>
      </c>
      <c r="R70" s="5">
        <v>6.5</v>
      </c>
      <c r="S70" s="5">
        <v>4.6100000000000003</v>
      </c>
      <c r="T70" s="129">
        <v>0.8</v>
      </c>
      <c r="U70" s="133">
        <f>(((Table5[[#This Row],[Watts Active]]*Power_On_Hours_Year/1000)*Active_Duty_Cycle)+((Table5[[#This Row],[Watts Idle]]*Power_On_Hours_Year/1000)*(100%-Active_Duty_Cycle)))*CostPerKWH</f>
        <v>5.4654513600000012</v>
      </c>
      <c r="V70" s="168">
        <f>Table5[Energy$year]/Table5[[#This Row],[SizTB]]</f>
        <v>2.7327256800000006</v>
      </c>
      <c r="W70" s="167">
        <v>124.99</v>
      </c>
      <c r="X70" s="6">
        <f>Table5[[#This Row],[Cost]]/Table5[[#This Row],[SizTB]]*Exchange_Rate</f>
        <v>62.494999999999997</v>
      </c>
      <c r="Y70" s="172">
        <f>Table5[[#This Row],[Cost]]+((CompareWarrYrs-Table5[[#This Row],[S]])*(Incremental_Warr_Yr*Table5[[#This Row],[Cost]]))*Exchange_Rate</f>
        <v>124.99</v>
      </c>
      <c r="Z70" s="6">
        <f>Table5[[#This Row],[$+Warr]]/Table5[[#This Row],[SizTB]]</f>
        <v>62.494999999999997</v>
      </c>
      <c r="AA70" s="6">
        <f>Table5[[#This Row],[$PerTB]]/CompareWarrYrs</f>
        <v>12.498999999999999</v>
      </c>
      <c r="AB70" s="186"/>
      <c r="AC70" s="187"/>
      <c r="AD70" s="44"/>
    </row>
    <row r="71" spans="1:30" x14ac:dyDescent="0.25">
      <c r="A71" s="1">
        <v>43053</v>
      </c>
      <c r="B71" t="s">
        <v>10</v>
      </c>
      <c r="C71" s="116" t="s">
        <v>17</v>
      </c>
      <c r="D71" s="31" t="s">
        <v>50</v>
      </c>
      <c r="E71" s="99">
        <v>3.5</v>
      </c>
      <c r="F71" s="85">
        <v>4</v>
      </c>
      <c r="G71" s="46">
        <v>7200</v>
      </c>
      <c r="H71" s="5">
        <v>4.16</v>
      </c>
      <c r="I71" s="5"/>
      <c r="J71" s="65">
        <f>(Table5[[#This Row],[RPM]]/5400-1)</f>
        <v>0.33333333333333326</v>
      </c>
      <c r="K71" s="49">
        <v>214</v>
      </c>
      <c r="L71">
        <v>5</v>
      </c>
      <c r="M71" s="40"/>
      <c r="N71">
        <v>300</v>
      </c>
      <c r="O71" s="40">
        <v>1200000</v>
      </c>
      <c r="P71" s="39">
        <v>1000000000000000</v>
      </c>
      <c r="Q71" s="57">
        <f>12*2</f>
        <v>24</v>
      </c>
      <c r="R71" s="5">
        <v>8.5</v>
      </c>
      <c r="S71" s="5">
        <v>5.45</v>
      </c>
      <c r="T71" s="129">
        <v>0.6</v>
      </c>
      <c r="U71" s="133">
        <f>(((Table5[[#This Row],[Watts Active]]*Power_On_Hours_Year/1000)*Active_Duty_Cycle)+((Table5[[#This Row],[Watts Idle]]*Power_On_Hours_Year/1000)*(100%-Active_Duty_Cycle)))*CostPerKWH</f>
        <v>6.6400632000000002</v>
      </c>
      <c r="V71" s="168">
        <f>Table5[Energy$year]/Table5[[#This Row],[SizTB]]</f>
        <v>1.6600158</v>
      </c>
      <c r="W71" s="167">
        <v>189.99</v>
      </c>
      <c r="X71" s="6">
        <f>Table5[[#This Row],[Cost]]/Table5[[#This Row],[SizTB]]*Exchange_Rate</f>
        <v>47.497500000000002</v>
      </c>
      <c r="Y71" s="172">
        <f>Table5[[#This Row],[Cost]]+((CompareWarrYrs-Table5[[#This Row],[S]])*(Incremental_Warr_Yr*Table5[[#This Row],[Cost]]))*Exchange_Rate</f>
        <v>189.99</v>
      </c>
      <c r="Z71" s="6">
        <f>Table5[[#This Row],[$+Warr]]/Table5[[#This Row],[SizTB]]</f>
        <v>47.497500000000002</v>
      </c>
      <c r="AA71" s="6">
        <f>Table5[[#This Row],[$PerTB]]/CompareWarrYrs</f>
        <v>9.4995000000000012</v>
      </c>
      <c r="AB71" s="186"/>
      <c r="AC71" s="187"/>
      <c r="AD71" s="44"/>
    </row>
    <row r="72" spans="1:30" x14ac:dyDescent="0.25">
      <c r="A72" s="1">
        <v>43053</v>
      </c>
      <c r="B72" t="s">
        <v>10</v>
      </c>
      <c r="C72" s="116" t="s">
        <v>17</v>
      </c>
      <c r="D72" s="31" t="s">
        <v>50</v>
      </c>
      <c r="E72" s="99">
        <v>3.5</v>
      </c>
      <c r="F72" s="85">
        <v>6</v>
      </c>
      <c r="G72" s="46">
        <v>7200</v>
      </c>
      <c r="H72" s="5">
        <v>4.16</v>
      </c>
      <c r="I72" s="5"/>
      <c r="J72" s="65">
        <f>(Table5[[#This Row],[RPM]]/5400-1)</f>
        <v>0.33333333333333326</v>
      </c>
      <c r="K72" s="49">
        <v>214</v>
      </c>
      <c r="L72">
        <v>5</v>
      </c>
      <c r="M72" s="40"/>
      <c r="N72">
        <v>300</v>
      </c>
      <c r="O72" s="40">
        <v>1200000</v>
      </c>
      <c r="P72" s="39">
        <v>1000000000000000</v>
      </c>
      <c r="Q72" s="57">
        <f>12*2</f>
        <v>24</v>
      </c>
      <c r="R72" s="5">
        <v>8.1</v>
      </c>
      <c r="S72" s="5">
        <v>7.5</v>
      </c>
      <c r="T72" s="129">
        <v>0.6</v>
      </c>
      <c r="U72" s="133">
        <f>(((Table5[[#This Row],[Watts Active]]*Power_On_Hours_Year/1000)*Active_Duty_Cycle)+((Table5[[#This Row],[Watts Idle]]*Power_On_Hours_Year/1000)*(100%-Active_Duty_Cycle)))*CostPerKWH</f>
        <v>8.3493864000000002</v>
      </c>
      <c r="V72" s="168">
        <f>Table5[Energy$year]/Table5[[#This Row],[SizTB]]</f>
        <v>1.3915644</v>
      </c>
      <c r="W72" s="167">
        <v>259.99</v>
      </c>
      <c r="X72" s="6">
        <f>Table5[[#This Row],[Cost]]/Table5[[#This Row],[SizTB]]*Exchange_Rate</f>
        <v>43.331666666666671</v>
      </c>
      <c r="Y72" s="172">
        <f>Table5[[#This Row],[Cost]]+((CompareWarrYrs-Table5[[#This Row],[S]])*(Incremental_Warr_Yr*Table5[[#This Row],[Cost]]))*Exchange_Rate</f>
        <v>259.99</v>
      </c>
      <c r="Z72" s="6">
        <f>Table5[[#This Row],[$+Warr]]/Table5[[#This Row],[SizTB]]</f>
        <v>43.331666666666671</v>
      </c>
      <c r="AA72" s="6">
        <f>Table5[[#This Row],[$PerTB]]/CompareWarrYrs</f>
        <v>8.6663333333333341</v>
      </c>
      <c r="AB72" s="186"/>
      <c r="AC72" s="187"/>
      <c r="AD72" s="44"/>
    </row>
    <row r="73" spans="1:30" x14ac:dyDescent="0.25">
      <c r="A73" s="1">
        <v>43080</v>
      </c>
      <c r="B73" t="s">
        <v>10</v>
      </c>
      <c r="C73" s="116" t="s">
        <v>17</v>
      </c>
      <c r="D73" s="31" t="s">
        <v>50</v>
      </c>
      <c r="E73" s="99">
        <v>3.5</v>
      </c>
      <c r="F73" s="85">
        <v>8</v>
      </c>
      <c r="G73" s="46">
        <v>7200</v>
      </c>
      <c r="H73" s="5">
        <v>4.16</v>
      </c>
      <c r="I73" s="5"/>
      <c r="J73" s="65">
        <f>(Table5[[#This Row],[RPM]]/5400-1)</f>
        <v>0.33333333333333326</v>
      </c>
      <c r="K73" s="49">
        <v>214</v>
      </c>
      <c r="L73">
        <v>5</v>
      </c>
      <c r="M73" s="40"/>
      <c r="N73">
        <v>300</v>
      </c>
      <c r="O73" s="40">
        <v>1200000</v>
      </c>
      <c r="P73" s="39">
        <v>1000000000000000</v>
      </c>
      <c r="Q73" s="57">
        <f>12*2</f>
        <v>24</v>
      </c>
      <c r="R73" s="5">
        <v>7.4</v>
      </c>
      <c r="S73" s="5">
        <v>4.4000000000000004</v>
      </c>
      <c r="T73" s="129">
        <v>0.8</v>
      </c>
      <c r="U73" s="133">
        <f>(((Table5[[#This Row],[Watts Active]]*Power_On_Hours_Year/1000)*Active_Duty_Cycle)+((Table5[[#This Row],[Watts Idle]]*Power_On_Hours_Year/1000)*(100%-Active_Duty_Cycle)))*CostPerKWH</f>
        <v>5.478600000000001</v>
      </c>
      <c r="V73" s="168">
        <f>Table5[Energy$year]/Table5[[#This Row],[SizTB]]</f>
        <v>0.68482500000000013</v>
      </c>
      <c r="W73" s="167">
        <v>239</v>
      </c>
      <c r="X73" s="6">
        <f>Table5[[#This Row],[Cost]]/Table5[[#This Row],[SizTB]]*Exchange_Rate</f>
        <v>29.875</v>
      </c>
      <c r="Y73" s="172">
        <f>Table5[[#This Row],[Cost]]+((CompareWarrYrs-Table5[[#This Row],[S]])*(Incremental_Warr_Yr*Table5[[#This Row],[Cost]]))*Exchange_Rate</f>
        <v>239</v>
      </c>
      <c r="Z73" s="6">
        <f>Table5[[#This Row],[$+Warr]]/Table5[[#This Row],[SizTB]]</f>
        <v>29.875</v>
      </c>
      <c r="AA73" s="6">
        <f>Table5[[#This Row],[$PerTB]]/CompareWarrYrs</f>
        <v>5.9749999999999996</v>
      </c>
      <c r="AB73" s="186"/>
      <c r="AC73" s="187"/>
      <c r="AD73" s="44"/>
    </row>
    <row r="74" spans="1:30" x14ac:dyDescent="0.25">
      <c r="A74" s="1">
        <v>43065</v>
      </c>
      <c r="B74" t="s">
        <v>10</v>
      </c>
      <c r="C74" s="116" t="s">
        <v>17</v>
      </c>
      <c r="D74" s="31" t="s">
        <v>50</v>
      </c>
      <c r="E74" s="99">
        <v>3.5</v>
      </c>
      <c r="F74" s="85">
        <v>10</v>
      </c>
      <c r="G74" s="46">
        <v>7200</v>
      </c>
      <c r="H74" s="5">
        <v>4.16</v>
      </c>
      <c r="I74" s="5"/>
      <c r="J74" s="65">
        <f>(Table5[[#This Row],[RPM]]/5400-1)</f>
        <v>0.33333333333333326</v>
      </c>
      <c r="K74" s="49">
        <v>214</v>
      </c>
      <c r="L74">
        <v>5</v>
      </c>
      <c r="M74" s="40"/>
      <c r="N74">
        <v>300</v>
      </c>
      <c r="O74" s="40">
        <v>1200000</v>
      </c>
      <c r="P74" s="39">
        <v>1000000000000000</v>
      </c>
      <c r="Q74" s="57">
        <v>24</v>
      </c>
      <c r="R74" s="5">
        <v>7.4</v>
      </c>
      <c r="S74" s="5">
        <v>5</v>
      </c>
      <c r="T74" s="129">
        <v>0.8</v>
      </c>
      <c r="U74" s="133">
        <f>(((Table5[[#This Row],[Watts Active]]*Power_On_Hours_Year/1000)*Active_Duty_Cycle)+((Table5[[#This Row],[Watts Idle]]*Power_On_Hours_Year/1000)*(100%-Active_Duty_Cycle)))*CostPerKWH</f>
        <v>6.0045456000000001</v>
      </c>
      <c r="V74" s="168">
        <f>Table5[Energy$year]/Table5[[#This Row],[SizTB]]</f>
        <v>0.60045455999999997</v>
      </c>
      <c r="W74" s="167">
        <v>369.99</v>
      </c>
      <c r="X74" s="6">
        <f>Table5[[#This Row],[Cost]]/Table5[[#This Row],[SizTB]]*Exchange_Rate</f>
        <v>36.999000000000002</v>
      </c>
      <c r="Y74" s="172">
        <f>Table5[[#This Row],[Cost]]+((CompareWarrYrs-Table5[[#This Row],[S]])*(Incremental_Warr_Yr*Table5[[#This Row],[Cost]]))*Exchange_Rate</f>
        <v>369.99</v>
      </c>
      <c r="Z74" s="6">
        <f>Table5[[#This Row],[$+Warr]]/Table5[[#This Row],[SizTB]]</f>
        <v>36.999000000000002</v>
      </c>
      <c r="AA74" s="6">
        <f>Table5[[#This Row],[$PerTB]]/CompareWarrYrs</f>
        <v>7.3998000000000008</v>
      </c>
      <c r="AB74" s="186"/>
      <c r="AC74" s="187"/>
      <c r="AD74" s="44"/>
    </row>
    <row r="75" spans="1:30" x14ac:dyDescent="0.25">
      <c r="A75" s="1">
        <v>43053</v>
      </c>
      <c r="B75" t="s">
        <v>10</v>
      </c>
      <c r="C75" s="116" t="s">
        <v>17</v>
      </c>
      <c r="D75" s="128" t="s">
        <v>50</v>
      </c>
      <c r="E75" s="99">
        <v>3.5</v>
      </c>
      <c r="F75" s="85">
        <v>12</v>
      </c>
      <c r="G75" s="46">
        <v>7200</v>
      </c>
      <c r="H75" s="5">
        <v>4.16</v>
      </c>
      <c r="I75" s="5"/>
      <c r="J75" s="65">
        <f>(Table5[[#This Row],[RPM]]/5400-1)</f>
        <v>0.33333333333333326</v>
      </c>
      <c r="K75" s="49"/>
      <c r="L75">
        <v>5</v>
      </c>
      <c r="M75" s="40"/>
      <c r="N75">
        <v>300</v>
      </c>
      <c r="O75" s="40">
        <v>1200000</v>
      </c>
      <c r="P75" s="39">
        <v>1000000000000000</v>
      </c>
      <c r="Q75" s="57">
        <v>24</v>
      </c>
      <c r="R75" s="5">
        <v>7.8</v>
      </c>
      <c r="S75" s="5">
        <v>5</v>
      </c>
      <c r="T75" s="129">
        <v>0.8</v>
      </c>
      <c r="U75" s="133">
        <f>(((Table5[[#This Row],[Watts Active]]*Power_On_Hours_Year/1000)*Active_Duty_Cycle)+((Table5[[#This Row],[Watts Idle]]*Power_On_Hours_Year/1000)*(100%-Active_Duty_Cycle)))*CostPerKWH</f>
        <v>6.0922032000000002</v>
      </c>
      <c r="V75" s="168">
        <f>Table5[Energy$year]/Table5[[#This Row],[SizTB]]</f>
        <v>0.50768360000000001</v>
      </c>
      <c r="W75" s="167">
        <v>509.99</v>
      </c>
      <c r="X75" s="6">
        <f>Table5[[#This Row],[Cost]]/Table5[[#This Row],[SizTB]]*Exchange_Rate</f>
        <v>42.499166666666667</v>
      </c>
      <c r="Y75" s="172">
        <f>Table5[[#This Row],[Cost]]+((CompareWarrYrs-Table5[[#This Row],[S]])*(Incremental_Warr_Yr*Table5[[#This Row],[Cost]]))*Exchange_Rate</f>
        <v>509.99</v>
      </c>
      <c r="Z75" s="6">
        <f>Table5[[#This Row],[$+Warr]]/Table5[[#This Row],[SizTB]]</f>
        <v>42.499166666666667</v>
      </c>
      <c r="AA75" s="6">
        <f>Table5[[#This Row],[$PerTB]]/CompareWarrYrs</f>
        <v>8.4998333333333331</v>
      </c>
      <c r="AB75" s="186"/>
      <c r="AC75" s="187"/>
      <c r="AD75" s="44"/>
    </row>
    <row r="76" spans="1:30" ht="15.75" thickBot="1" x14ac:dyDescent="0.3">
      <c r="A76" s="69">
        <v>43046</v>
      </c>
      <c r="B76" s="70" t="s">
        <v>10</v>
      </c>
      <c r="C76" s="115" t="s">
        <v>14</v>
      </c>
      <c r="D76" s="71" t="s">
        <v>50</v>
      </c>
      <c r="E76" s="86">
        <v>3.5</v>
      </c>
      <c r="F76" s="86">
        <v>4</v>
      </c>
      <c r="G76" s="72">
        <v>5900</v>
      </c>
      <c r="H76" s="73">
        <v>5.0999999999999996</v>
      </c>
      <c r="I76" s="73">
        <v>16</v>
      </c>
      <c r="J76" s="74">
        <f>(Table5[[#This Row],[RPM]]/5400-1)</f>
        <v>9.259259259259256E-2</v>
      </c>
      <c r="K76" s="75">
        <v>140</v>
      </c>
      <c r="L76" s="70">
        <v>3</v>
      </c>
      <c r="M76" s="76">
        <v>300000</v>
      </c>
      <c r="N76" s="70">
        <v>180</v>
      </c>
      <c r="O76" s="76">
        <v>800000</v>
      </c>
      <c r="P76" s="162">
        <f t="shared" ref="P76:P79" si="7">10^14</f>
        <v>100000000000000</v>
      </c>
      <c r="Q76" s="78">
        <v>24</v>
      </c>
      <c r="R76" s="73">
        <v>6.49</v>
      </c>
      <c r="S76" s="73">
        <v>4.59</v>
      </c>
      <c r="T76" s="130">
        <v>0.77</v>
      </c>
      <c r="U76" s="135">
        <f>(((Table5[[#This Row],[Watts Active]]*Power_On_Hours_Year/1000)*Active_Duty_Cycle)+((Table5[[#This Row],[Watts Idle]]*Power_On_Hours_Year/1000)*(100%-Active_Duty_Cycle)))*CostPerKWH</f>
        <v>5.4457284000000001</v>
      </c>
      <c r="V76" s="168">
        <f>Table5[Energy$year]/Table5[[#This Row],[SizTB]]</f>
        <v>1.3614321</v>
      </c>
      <c r="W76" s="165">
        <v>189.99</v>
      </c>
      <c r="X76" s="79">
        <f>Table5[[#This Row],[Cost]]/Table5[[#This Row],[SizTB]]*Exchange_Rate</f>
        <v>47.497500000000002</v>
      </c>
      <c r="Y76" s="172">
        <f>Table5[[#This Row],[Cost]]+((CompareWarrYrs-Table5[[#This Row],[S]])*(Incremental_Warr_Yr*Table5[[#This Row],[Cost]]))*Exchange_Rate</f>
        <v>231.7878</v>
      </c>
      <c r="Z76" s="79">
        <f>Table5[[#This Row],[$+Warr]]/Table5[[#This Row],[SizTB]]</f>
        <v>57.946950000000001</v>
      </c>
      <c r="AA76" s="79">
        <f>Table5[[#This Row],[$PerTB]]/CompareWarrYrs</f>
        <v>11.58939</v>
      </c>
      <c r="AB76" s="188"/>
      <c r="AC76" s="189"/>
      <c r="AD76" s="80"/>
    </row>
    <row r="77" spans="1:30" ht="15.75" thickTop="1" x14ac:dyDescent="0.25">
      <c r="A77" s="1">
        <v>43080</v>
      </c>
      <c r="B77" t="s">
        <v>42</v>
      </c>
      <c r="C77" s="116" t="s">
        <v>144</v>
      </c>
      <c r="D77" s="128" t="s">
        <v>130</v>
      </c>
      <c r="E77" s="99">
        <v>3.5</v>
      </c>
      <c r="F77" s="85">
        <v>1</v>
      </c>
      <c r="G77" s="46">
        <v>7200</v>
      </c>
      <c r="H77" s="5">
        <v>4.17</v>
      </c>
      <c r="I77" s="5"/>
      <c r="J77" s="65">
        <f>(Table5[[#This Row],[RPM]]/5400-1)</f>
        <v>0.33333333333333326</v>
      </c>
      <c r="K77" s="49">
        <v>182.2</v>
      </c>
      <c r="L77">
        <v>2</v>
      </c>
      <c r="M77" s="40"/>
      <c r="O77" s="40"/>
      <c r="P77" s="39">
        <f t="shared" si="7"/>
        <v>100000000000000</v>
      </c>
      <c r="Q77" s="57"/>
      <c r="R77" s="5">
        <v>6.4</v>
      </c>
      <c r="S77" s="5">
        <v>3.7</v>
      </c>
      <c r="T77" s="129"/>
      <c r="U77" s="133">
        <f>(((Table5[[#This Row],[Watts Active]]*Power_On_Hours_Year/1000)*Active_Duty_Cycle)+((Table5[[#This Row],[Watts Idle]]*Power_On_Hours_Year/1000)*(100%-Active_Duty_Cycle)))*CostPerKWH</f>
        <v>4.6458528000000001</v>
      </c>
      <c r="V77" s="168">
        <f>Table5[Energy$year]/Table5[[#This Row],[SizTB]]</f>
        <v>4.6458528000000001</v>
      </c>
      <c r="W77" s="167">
        <v>42.99</v>
      </c>
      <c r="X77" s="6">
        <f>Table5[[#This Row],[Cost]]/Table5[[#This Row],[SizTB]]*Exchange_Rate</f>
        <v>42.99</v>
      </c>
      <c r="Y77" s="172">
        <f>Table5[[#This Row],[Cost]]+((CompareWarrYrs-Table5[[#This Row],[S]])*(Incremental_Warr_Yr*Table5[[#This Row],[Cost]]))*Exchange_Rate</f>
        <v>57.176700000000004</v>
      </c>
      <c r="Z77" s="6">
        <f>Table5[[#This Row],[$+Warr]]/Table5[[#This Row],[SizTB]]</f>
        <v>57.176700000000004</v>
      </c>
      <c r="AA77" s="6">
        <f>Table5[[#This Row],[$PerTB]]/CompareWarrYrs</f>
        <v>11.43534</v>
      </c>
      <c r="AB77" s="186"/>
      <c r="AC77" s="187"/>
      <c r="AD77" s="179"/>
    </row>
    <row r="78" spans="1:30" x14ac:dyDescent="0.25">
      <c r="A78" s="1">
        <v>43103</v>
      </c>
      <c r="B78" t="s">
        <v>42</v>
      </c>
      <c r="C78" s="116" t="s">
        <v>144</v>
      </c>
      <c r="D78" s="128" t="s">
        <v>130</v>
      </c>
      <c r="E78" s="99">
        <v>3.5</v>
      </c>
      <c r="F78" s="85">
        <v>2</v>
      </c>
      <c r="G78" s="46">
        <v>7200</v>
      </c>
      <c r="H78" s="5">
        <v>4.17</v>
      </c>
      <c r="I78" s="5"/>
      <c r="J78" s="65">
        <f>(Table5[[#This Row],[RPM]]/5400-1)</f>
        <v>0.33333333333333326</v>
      </c>
      <c r="K78" s="49">
        <v>181.5</v>
      </c>
      <c r="L78">
        <v>2</v>
      </c>
      <c r="M78" s="40"/>
      <c r="O78" s="40"/>
      <c r="P78" s="39">
        <f t="shared" si="7"/>
        <v>100000000000000</v>
      </c>
      <c r="Q78" s="57"/>
      <c r="R78" s="5">
        <v>6.4</v>
      </c>
      <c r="S78" s="5">
        <v>5.2</v>
      </c>
      <c r="T78" s="129"/>
      <c r="U78" s="133">
        <f>(((Table5[[#This Row],[Watts Active]]*Power_On_Hours_Year/1000)*Active_Duty_Cycle)+((Table5[[#This Row],[Watts Idle]]*Power_On_Hours_Year/1000)*(100%-Active_Duty_Cycle)))*CostPerKWH</f>
        <v>5.960716800000001</v>
      </c>
      <c r="V78" s="168">
        <f>Table5[Energy$year]/Table5[[#This Row],[SizTB]]</f>
        <v>2.9803584000000005</v>
      </c>
      <c r="W78" s="167">
        <v>54.99</v>
      </c>
      <c r="X78" s="6">
        <f>Table5[[#This Row],[Cost]]/Table5[[#This Row],[SizTB]]*Exchange_Rate</f>
        <v>27.495000000000001</v>
      </c>
      <c r="Y78" s="172">
        <f>Table5[[#This Row],[Cost]]+((CompareWarrYrs-Table5[[#This Row],[S]])*(Incremental_Warr_Yr*Table5[[#This Row],[Cost]]))*Exchange_Rate</f>
        <v>73.136700000000005</v>
      </c>
      <c r="Z78" s="6">
        <f>Table5[[#This Row],[$+Warr]]/Table5[[#This Row],[SizTB]]</f>
        <v>36.568350000000002</v>
      </c>
      <c r="AA78" s="6">
        <f>Table5[[#This Row],[$PerTB]]/CompareWarrYrs</f>
        <v>7.3136700000000001</v>
      </c>
      <c r="AB78" s="186"/>
      <c r="AC78" s="187"/>
      <c r="AD78" s="180"/>
    </row>
    <row r="79" spans="1:30" x14ac:dyDescent="0.25">
      <c r="A79" s="1">
        <v>43080</v>
      </c>
      <c r="B79" t="s">
        <v>42</v>
      </c>
      <c r="C79" s="116" t="s">
        <v>144</v>
      </c>
      <c r="D79" s="128" t="s">
        <v>130</v>
      </c>
      <c r="E79" s="99">
        <v>3.5</v>
      </c>
      <c r="F79" s="85">
        <v>3</v>
      </c>
      <c r="G79" s="46">
        <v>7200</v>
      </c>
      <c r="H79" s="5">
        <v>4.17</v>
      </c>
      <c r="I79" s="5"/>
      <c r="J79" s="65">
        <f>(Table5[[#This Row],[RPM]]/5400-1)</f>
        <v>0.33333333333333326</v>
      </c>
      <c r="K79" s="49">
        <v>181.5</v>
      </c>
      <c r="L79">
        <v>2</v>
      </c>
      <c r="M79" s="40"/>
      <c r="O79" s="40"/>
      <c r="P79" s="39">
        <f t="shared" si="7"/>
        <v>100000000000000</v>
      </c>
      <c r="Q79" s="57"/>
      <c r="R79" s="5">
        <v>6.4</v>
      </c>
      <c r="S79" s="5">
        <v>5.2</v>
      </c>
      <c r="T79" s="129"/>
      <c r="U79" s="133">
        <f>(((Table5[[#This Row],[Watts Active]]*Power_On_Hours_Year/1000)*Active_Duty_Cycle)+((Table5[[#This Row],[Watts Idle]]*Power_On_Hours_Year/1000)*(100%-Active_Duty_Cycle)))*CostPerKWH</f>
        <v>5.960716800000001</v>
      </c>
      <c r="V79" s="168">
        <f>Table5[Energy$year]/Table5[[#This Row],[SizTB]]</f>
        <v>1.9869056000000003</v>
      </c>
      <c r="W79" s="167">
        <v>77.989999999999995</v>
      </c>
      <c r="X79" s="6">
        <f>Table5[[#This Row],[Cost]]/Table5[[#This Row],[SizTB]]*Exchange_Rate</f>
        <v>25.996666666666666</v>
      </c>
      <c r="Y79" s="172">
        <f>Table5[[#This Row],[Cost]]+((CompareWarrYrs-Table5[[#This Row],[S]])*(Incremental_Warr_Yr*Table5[[#This Row],[Cost]]))*Exchange_Rate</f>
        <v>103.72669999999999</v>
      </c>
      <c r="Z79" s="6">
        <f>Table5[[#This Row],[$+Warr]]/Table5[[#This Row],[SizTB]]</f>
        <v>34.575566666666667</v>
      </c>
      <c r="AA79" s="6">
        <f>Table5[[#This Row],[$PerTB]]/CompareWarrYrs</f>
        <v>6.9151133333333332</v>
      </c>
      <c r="AB79" s="186"/>
      <c r="AC79" s="187"/>
      <c r="AD79" s="180"/>
    </row>
    <row r="80" spans="1:30" x14ac:dyDescent="0.25">
      <c r="A80" s="125">
        <v>43044</v>
      </c>
      <c r="B80" t="s">
        <v>42</v>
      </c>
      <c r="C80" s="126" t="s">
        <v>116</v>
      </c>
      <c r="D80" s="100" t="s">
        <v>50</v>
      </c>
      <c r="E80" s="120">
        <v>3.5</v>
      </c>
      <c r="F80" s="120">
        <v>6</v>
      </c>
      <c r="G80" s="46">
        <v>7200</v>
      </c>
      <c r="H80" s="5"/>
      <c r="I80" s="5">
        <v>8.5</v>
      </c>
      <c r="J80" s="65">
        <f>(Table5[[#This Row],[RPM]]/5400-1)</f>
        <v>0.33333333333333326</v>
      </c>
      <c r="K80" s="49">
        <v>230</v>
      </c>
      <c r="L80" s="7">
        <v>5</v>
      </c>
      <c r="M80" s="40">
        <v>600000</v>
      </c>
      <c r="N80" s="7">
        <v>550</v>
      </c>
      <c r="O80" s="127">
        <v>2500000</v>
      </c>
      <c r="P80" s="39">
        <f t="shared" ref="P80:P81" si="8">10^16</f>
        <v>1E+16</v>
      </c>
      <c r="Q80" s="57"/>
      <c r="R80" s="5">
        <v>8.3000000000000007</v>
      </c>
      <c r="S80" s="5">
        <v>5.6</v>
      </c>
      <c r="T80" s="129"/>
      <c r="U80" s="133">
        <f>(((Table5[[#This Row],[Watts Active]]*Power_On_Hours_Year/1000)*Active_Duty_Cycle)+((Table5[[#This Row],[Watts Idle]]*Power_On_Hours_Year/1000)*(100%-Active_Duty_Cycle)))*CostPerKWH</f>
        <v>6.7277208000000002</v>
      </c>
      <c r="V80" s="168">
        <f>Table5[Energy$year]/Table5[[#This Row],[SizTB]]</f>
        <v>1.1212868</v>
      </c>
      <c r="W80" s="166">
        <v>272.17</v>
      </c>
      <c r="X80" s="6">
        <f>Table5[[#This Row],[Cost]]/Table5[[#This Row],[SizTB]]*Exchange_Rate</f>
        <v>45.361666666666672</v>
      </c>
      <c r="Y80" s="172">
        <f>Table5[[#This Row],[Cost]]+((CompareWarrYrs-Table5[[#This Row],[S]])*(Incremental_Warr_Yr*Table5[[#This Row],[Cost]]))*Exchange_Rate</f>
        <v>272.17</v>
      </c>
      <c r="Z80" s="6">
        <f>Table5[[#This Row],[$+Warr]]/Table5[[#This Row],[SizTB]]</f>
        <v>45.361666666666672</v>
      </c>
      <c r="AA80" s="6">
        <f>Table5[[#This Row],[$PerTB]]/CompareWarrYrs</f>
        <v>9.0723333333333347</v>
      </c>
      <c r="AB80" s="186"/>
      <c r="AC80" s="187"/>
      <c r="AD80" s="180" t="s">
        <v>145</v>
      </c>
    </row>
    <row r="81" spans="1:30" x14ac:dyDescent="0.25">
      <c r="A81" s="125">
        <v>43080</v>
      </c>
      <c r="B81" t="s">
        <v>42</v>
      </c>
      <c r="C81" s="126" t="s">
        <v>116</v>
      </c>
      <c r="D81" s="100" t="s">
        <v>50</v>
      </c>
      <c r="E81" s="120">
        <v>3.5</v>
      </c>
      <c r="F81" s="120">
        <v>8</v>
      </c>
      <c r="G81" s="46">
        <v>7200</v>
      </c>
      <c r="H81" s="5"/>
      <c r="I81" s="5">
        <v>8.5</v>
      </c>
      <c r="J81" s="65">
        <f>(Table5[[#This Row],[RPM]]/5400-1)</f>
        <v>0.33333333333333326</v>
      </c>
      <c r="K81" s="49">
        <v>230</v>
      </c>
      <c r="L81" s="7">
        <v>5</v>
      </c>
      <c r="M81" s="40">
        <v>600000</v>
      </c>
      <c r="N81" s="7">
        <v>550</v>
      </c>
      <c r="O81" s="127">
        <v>2500000</v>
      </c>
      <c r="P81" s="39">
        <f t="shared" si="8"/>
        <v>1E+16</v>
      </c>
      <c r="Q81" s="57"/>
      <c r="R81" s="5">
        <v>9.1</v>
      </c>
      <c r="S81" s="5">
        <v>6.4</v>
      </c>
      <c r="T81" s="129"/>
      <c r="U81" s="133">
        <f>(((Table5[[#This Row],[Watts Active]]*Power_On_Hours_Year/1000)*Active_Duty_Cycle)+((Table5[[#This Row],[Watts Idle]]*Power_On_Hours_Year/1000)*(100%-Active_Duty_Cycle)))*CostPerKWH</f>
        <v>7.6042968000000002</v>
      </c>
      <c r="V81" s="168">
        <f>Table5[Energy$year]/Table5[[#This Row],[SizTB]]</f>
        <v>0.95053710000000002</v>
      </c>
      <c r="W81" s="167">
        <v>259.99</v>
      </c>
      <c r="X81" s="6">
        <f>Table5[[#This Row],[Cost]]/Table5[[#This Row],[SizTB]]*Exchange_Rate</f>
        <v>32.498750000000001</v>
      </c>
      <c r="Y81" s="172">
        <f>Table5[[#This Row],[Cost]]+((CompareWarrYrs-Table5[[#This Row],[S]])*(Incremental_Warr_Yr*Table5[[#This Row],[Cost]]))*Exchange_Rate</f>
        <v>259.99</v>
      </c>
      <c r="Z81" s="6">
        <f>Table5[[#This Row],[$+Warr]]/Table5[[#This Row],[SizTB]]</f>
        <v>32.498750000000001</v>
      </c>
      <c r="AA81" s="6">
        <f>Table5[[#This Row],[$PerTB]]/CompareWarrYrs</f>
        <v>6.4997500000000006</v>
      </c>
      <c r="AB81" s="186"/>
      <c r="AC81" s="187"/>
      <c r="AD81" s="180" t="s">
        <v>145</v>
      </c>
    </row>
    <row r="82" spans="1:30" x14ac:dyDescent="0.25">
      <c r="A82" s="125">
        <v>43044</v>
      </c>
      <c r="B82" t="s">
        <v>42</v>
      </c>
      <c r="C82" s="126" t="s">
        <v>116</v>
      </c>
      <c r="D82" s="100" t="s">
        <v>50</v>
      </c>
      <c r="E82" s="120">
        <v>3.5</v>
      </c>
      <c r="F82" s="120">
        <v>10</v>
      </c>
      <c r="G82" s="46">
        <v>7200</v>
      </c>
      <c r="H82" s="5"/>
      <c r="I82" s="5">
        <v>8.5</v>
      </c>
      <c r="J82" s="65">
        <f>(Table5[[#This Row],[RPM]]/5400-1)</f>
        <v>0.33333333333333326</v>
      </c>
      <c r="K82" s="49">
        <v>237</v>
      </c>
      <c r="L82" s="7">
        <v>5</v>
      </c>
      <c r="M82" s="40">
        <v>600000</v>
      </c>
      <c r="N82" s="7">
        <v>550</v>
      </c>
      <c r="O82" s="127">
        <v>2500000</v>
      </c>
      <c r="P82" s="39">
        <f>10^16</f>
        <v>1E+16</v>
      </c>
      <c r="Q82" s="57"/>
      <c r="R82" s="5">
        <v>10</v>
      </c>
      <c r="S82" s="5">
        <v>7.3</v>
      </c>
      <c r="T82" s="129"/>
      <c r="U82" s="133">
        <f>(((Table5[[#This Row],[Watts Active]]*Power_On_Hours_Year/1000)*Active_Duty_Cycle)+((Table5[[#This Row],[Watts Idle]]*Power_On_Hours_Year/1000)*(100%-Active_Duty_Cycle)))*CostPerKWH</f>
        <v>8.5904448000000002</v>
      </c>
      <c r="V82" s="168">
        <f>Table5[Energy$year]/Table5[[#This Row],[SizTB]]</f>
        <v>0.85904448</v>
      </c>
      <c r="W82" s="166"/>
      <c r="X82" s="6">
        <f>Table5[[#This Row],[Cost]]/Table5[[#This Row],[SizTB]]*Exchange_Rate</f>
        <v>0</v>
      </c>
      <c r="Y82" s="172">
        <f>Table5[[#This Row],[Cost]]+((CompareWarrYrs-Table5[[#This Row],[S]])*(Incremental_Warr_Yr*Table5[[#This Row],[Cost]]))*Exchange_Rate</f>
        <v>0</v>
      </c>
      <c r="Z82" s="6">
        <f>Table5[[#This Row],[$+Warr]]/Table5[[#This Row],[SizTB]]</f>
        <v>0</v>
      </c>
      <c r="AA82" s="6">
        <f>Table5[[#This Row],[$PerTB]]/CompareWarrYrs</f>
        <v>0</v>
      </c>
      <c r="AB82" s="186"/>
      <c r="AC82" s="187"/>
      <c r="AD82" s="180" t="s">
        <v>145</v>
      </c>
    </row>
    <row r="83" spans="1:30" x14ac:dyDescent="0.25">
      <c r="A83" s="125">
        <v>43080</v>
      </c>
      <c r="B83" t="s">
        <v>42</v>
      </c>
      <c r="C83" s="126" t="s">
        <v>116</v>
      </c>
      <c r="D83" s="100" t="s">
        <v>50</v>
      </c>
      <c r="E83" s="120">
        <v>3.5</v>
      </c>
      <c r="F83" s="120">
        <v>12</v>
      </c>
      <c r="G83" s="46">
        <v>7200</v>
      </c>
      <c r="H83" s="5"/>
      <c r="I83" s="5"/>
      <c r="J83" s="65">
        <f>(Table5[[#This Row],[RPM]]/5400-1)</f>
        <v>0.33333333333333326</v>
      </c>
      <c r="K83" s="49"/>
      <c r="L83" s="7">
        <v>5</v>
      </c>
      <c r="M83" s="40"/>
      <c r="N83" s="7">
        <v>550</v>
      </c>
      <c r="O83" s="127">
        <v>2500000</v>
      </c>
      <c r="P83" s="39"/>
      <c r="Q83" s="57"/>
      <c r="R83" s="5"/>
      <c r="S83" s="5"/>
      <c r="T83" s="129"/>
      <c r="U83" s="133">
        <f>(((Table5[[#This Row],[Watts Active]]*Power_On_Hours_Year/1000)*Active_Duty_Cycle)+((Table5[[#This Row],[Watts Idle]]*Power_On_Hours_Year/1000)*(100%-Active_Duty_Cycle)))*CostPerKWH</f>
        <v>0</v>
      </c>
      <c r="V83" s="168">
        <f>Table5[Energy$year]/Table5[[#This Row],[SizTB]]</f>
        <v>0</v>
      </c>
      <c r="W83" s="166"/>
      <c r="X83" s="6">
        <f>Table5[[#This Row],[Cost]]/Table5[[#This Row],[SizTB]]*Exchange_Rate</f>
        <v>0</v>
      </c>
      <c r="Y83" s="172">
        <f>Table5[[#This Row],[Cost]]+((CompareWarrYrs-Table5[[#This Row],[S]])*(Incremental_Warr_Yr*Table5[[#This Row],[Cost]]))*Exchange_Rate</f>
        <v>0</v>
      </c>
      <c r="Z83" s="6">
        <f>Table5[[#This Row],[$+Warr]]/Table5[[#This Row],[SizTB]]</f>
        <v>0</v>
      </c>
      <c r="AA83" s="6">
        <f>Table5[[#This Row],[$PerTB]]/CompareWarrYrs</f>
        <v>0</v>
      </c>
      <c r="AB83" s="186"/>
      <c r="AC83" s="187"/>
      <c r="AD83" s="181" t="s">
        <v>146</v>
      </c>
    </row>
    <row r="84" spans="1:30" x14ac:dyDescent="0.25">
      <c r="A84" s="125">
        <v>43080</v>
      </c>
      <c r="B84" t="s">
        <v>42</v>
      </c>
      <c r="C84" s="126" t="s">
        <v>116</v>
      </c>
      <c r="D84" s="100" t="s">
        <v>50</v>
      </c>
      <c r="E84" s="120">
        <v>3.5</v>
      </c>
      <c r="F84" s="120">
        <v>14</v>
      </c>
      <c r="G84" s="46">
        <v>7200</v>
      </c>
      <c r="H84" s="5"/>
      <c r="I84" s="5"/>
      <c r="J84" s="65">
        <f>(Table5[[#This Row],[RPM]]/5400-1)</f>
        <v>0.33333333333333326</v>
      </c>
      <c r="K84" s="49"/>
      <c r="L84" s="7">
        <v>5</v>
      </c>
      <c r="M84" s="40"/>
      <c r="N84" s="7">
        <v>550</v>
      </c>
      <c r="O84" s="127">
        <v>2500000</v>
      </c>
      <c r="P84" s="39"/>
      <c r="Q84" s="57"/>
      <c r="R84" s="5"/>
      <c r="S84" s="5"/>
      <c r="T84" s="129"/>
      <c r="U84" s="133">
        <f>(((Table5[[#This Row],[Watts Active]]*Power_On_Hours_Year/1000)*Active_Duty_Cycle)+((Table5[[#This Row],[Watts Idle]]*Power_On_Hours_Year/1000)*(100%-Active_Duty_Cycle)))*CostPerKWH</f>
        <v>0</v>
      </c>
      <c r="V84" s="168">
        <f>Table5[Energy$year]/Table5[[#This Row],[SizTB]]</f>
        <v>0</v>
      </c>
      <c r="W84" s="166"/>
      <c r="X84" s="6">
        <f>Table5[[#This Row],[Cost]]/Table5[[#This Row],[SizTB]]*Exchange_Rate</f>
        <v>0</v>
      </c>
      <c r="Y84" s="172">
        <f>Table5[[#This Row],[Cost]]+((CompareWarrYrs-Table5[[#This Row],[S]])*(Incremental_Warr_Yr*Table5[[#This Row],[Cost]]))*Exchange_Rate</f>
        <v>0</v>
      </c>
      <c r="Z84" s="6">
        <f>Table5[[#This Row],[$+Warr]]/Table5[[#This Row],[SizTB]]</f>
        <v>0</v>
      </c>
      <c r="AA84" s="6">
        <f>Table5[[#This Row],[$PerTB]]/CompareWarrYrs</f>
        <v>0</v>
      </c>
      <c r="AB84" s="186"/>
      <c r="AC84" s="187"/>
      <c r="AD84" s="181" t="s">
        <v>146</v>
      </c>
    </row>
    <row r="85" spans="1:30" x14ac:dyDescent="0.25">
      <c r="A85" s="125">
        <v>43080</v>
      </c>
      <c r="B85" t="s">
        <v>42</v>
      </c>
      <c r="C85" s="126" t="s">
        <v>115</v>
      </c>
      <c r="D85" s="100" t="s">
        <v>50</v>
      </c>
      <c r="E85" s="120">
        <v>2.5</v>
      </c>
      <c r="F85" s="120">
        <v>1.2</v>
      </c>
      <c r="G85" s="46">
        <v>10500</v>
      </c>
      <c r="H85" s="5">
        <v>2.86</v>
      </c>
      <c r="I85" s="5">
        <v>4</v>
      </c>
      <c r="J85" s="65">
        <f>(Table5[[#This Row],[RPM]]/5400-1)</f>
        <v>0.94444444444444442</v>
      </c>
      <c r="K85" s="49">
        <v>226</v>
      </c>
      <c r="L85" s="7">
        <v>5</v>
      </c>
      <c r="M85" s="127">
        <v>600000</v>
      </c>
      <c r="N85" s="7"/>
      <c r="O85" s="127">
        <v>2000000</v>
      </c>
      <c r="P85" s="39">
        <f>10^17</f>
        <v>1E+17</v>
      </c>
      <c r="Q85" s="57"/>
      <c r="R85" s="5">
        <v>7</v>
      </c>
      <c r="S85" s="5">
        <v>3.5</v>
      </c>
      <c r="T85" s="129"/>
      <c r="U85" s="133">
        <f>(((Table5[[#This Row],[Watts Active]]*Power_On_Hours_Year/1000)*Active_Duty_Cycle)+((Table5[[#This Row],[Watts Idle]]*Power_On_Hours_Year/1000)*(100%-Active_Duty_Cycle)))*CostPerKWH</f>
        <v>4.6020240000000001</v>
      </c>
      <c r="V85" s="168">
        <f>Table5[Energy$year]/Table5[[#This Row],[SizTB]]</f>
        <v>3.8350200000000001</v>
      </c>
      <c r="W85" s="167">
        <v>225</v>
      </c>
      <c r="X85" s="6">
        <f>Table5[[#This Row],[Cost]]/Table5[[#This Row],[SizTB]]*Exchange_Rate</f>
        <v>187.5</v>
      </c>
      <c r="Y85" s="172">
        <f>Table5[[#This Row],[Cost]]+((CompareWarrYrs-Table5[[#This Row],[S]])*(Incremental_Warr_Yr*Table5[[#This Row],[Cost]]))*Exchange_Rate</f>
        <v>225</v>
      </c>
      <c r="Z85" s="6">
        <f>Table5[[#This Row],[$+Warr]]/Table5[[#This Row],[SizTB]]</f>
        <v>187.5</v>
      </c>
      <c r="AA85" s="6">
        <f>Table5[[#This Row],[$PerTB]]/CompareWarrYrs</f>
        <v>37.5</v>
      </c>
      <c r="AB85" s="186"/>
      <c r="AC85" s="187"/>
      <c r="AD85" s="180" t="s">
        <v>145</v>
      </c>
    </row>
    <row r="86" spans="1:30" ht="15.75" thickBot="1" x14ac:dyDescent="0.3">
      <c r="A86" s="125">
        <v>43080</v>
      </c>
      <c r="B86" t="s">
        <v>42</v>
      </c>
      <c r="C86" s="126" t="s">
        <v>115</v>
      </c>
      <c r="D86" s="100" t="s">
        <v>50</v>
      </c>
      <c r="E86" s="120">
        <v>2.5</v>
      </c>
      <c r="F86" s="120">
        <v>1.8</v>
      </c>
      <c r="G86" s="46">
        <v>10500</v>
      </c>
      <c r="H86" s="5">
        <v>2.86</v>
      </c>
      <c r="I86" s="5">
        <v>4</v>
      </c>
      <c r="J86" s="65">
        <f>(Table5[[#This Row],[RPM]]/5400-1)</f>
        <v>0.94444444444444442</v>
      </c>
      <c r="K86" s="49">
        <v>226</v>
      </c>
      <c r="L86" s="7">
        <v>5</v>
      </c>
      <c r="M86" s="127">
        <v>600000</v>
      </c>
      <c r="N86" s="7"/>
      <c r="O86" s="127">
        <v>2000000</v>
      </c>
      <c r="P86" s="39">
        <f>10^17</f>
        <v>1E+17</v>
      </c>
      <c r="Q86" s="57"/>
      <c r="R86" s="5">
        <v>8.1</v>
      </c>
      <c r="S86" s="5">
        <v>4.5999999999999996</v>
      </c>
      <c r="T86" s="129"/>
      <c r="U86" s="133">
        <f>(((Table5[[#This Row],[Watts Active]]*Power_On_Hours_Year/1000)*Active_Duty_Cycle)+((Table5[[#This Row],[Watts Idle]]*Power_On_Hours_Year/1000)*(100%-Active_Duty_Cycle)))*CostPerKWH</f>
        <v>5.8073160000000001</v>
      </c>
      <c r="V86" s="168">
        <f>Table5[Energy$year]/Table5[[#This Row],[SizTB]]</f>
        <v>3.2262866666666667</v>
      </c>
      <c r="W86" s="167">
        <v>399.99</v>
      </c>
      <c r="X86" s="6">
        <f>Table5[[#This Row],[Cost]]/Table5[[#This Row],[SizTB]]*Exchange_Rate</f>
        <v>222.21666666666667</v>
      </c>
      <c r="Y86" s="172">
        <f>Table5[[#This Row],[Cost]]+((CompareWarrYrs-Table5[[#This Row],[S]])*(Incremental_Warr_Yr*Table5[[#This Row],[Cost]]))*Exchange_Rate</f>
        <v>399.99</v>
      </c>
      <c r="Z86" s="6">
        <f>Table5[[#This Row],[$+Warr]]/Table5[[#This Row],[SizTB]]</f>
        <v>222.21666666666667</v>
      </c>
      <c r="AA86" s="6">
        <f>Table5[[#This Row],[$PerTB]]/CompareWarrYrs</f>
        <v>44.443333333333335</v>
      </c>
      <c r="AB86" s="186"/>
      <c r="AC86" s="187"/>
      <c r="AD86" s="180" t="s">
        <v>145</v>
      </c>
    </row>
    <row r="87" spans="1:30" ht="15.75" thickBot="1" x14ac:dyDescent="0.3">
      <c r="A87" s="125">
        <v>43088</v>
      </c>
      <c r="B87" t="s">
        <v>42</v>
      </c>
      <c r="C87" s="126" t="s">
        <v>115</v>
      </c>
      <c r="D87" s="100" t="s">
        <v>50</v>
      </c>
      <c r="E87" s="120">
        <v>2.5</v>
      </c>
      <c r="F87" s="120">
        <v>2.4</v>
      </c>
      <c r="G87" s="46">
        <v>10500</v>
      </c>
      <c r="H87" s="5">
        <v>2.86</v>
      </c>
      <c r="I87" s="5">
        <v>4</v>
      </c>
      <c r="J87" s="65">
        <f>(Table5[[#This Row],[RPM]]/5400-1)</f>
        <v>0.94444444444444442</v>
      </c>
      <c r="K87" s="49">
        <v>260</v>
      </c>
      <c r="L87" s="7">
        <v>5</v>
      </c>
      <c r="M87" s="127">
        <v>600000</v>
      </c>
      <c r="N87" s="7"/>
      <c r="O87" s="127">
        <v>2000000</v>
      </c>
      <c r="P87" s="39">
        <f>10^17</f>
        <v>1E+17</v>
      </c>
      <c r="Q87" s="57"/>
      <c r="R87" s="5">
        <v>8.6999999999999993</v>
      </c>
      <c r="S87" s="5">
        <v>5.0999999999999996</v>
      </c>
      <c r="T87" s="129"/>
      <c r="U87" s="133">
        <f>(((Table5[[#This Row],[Watts Active]]*Power_On_Hours_Year/1000)*Active_Duty_Cycle)+((Table5[[#This Row],[Watts Idle]]*Power_On_Hours_Year/1000)*(100%-Active_Duty_Cycle)))*CostPerKWH</f>
        <v>6.3770903999999993</v>
      </c>
      <c r="V87" s="168">
        <f>Table5[Energy$year]/Table5[[#This Row],[SizTB]]</f>
        <v>2.6571209999999996</v>
      </c>
      <c r="W87" s="140"/>
      <c r="X87" s="182">
        <f>Table5[[#This Row],[Cost]]/Table5[[#This Row],[SizTB]]*Exchange_Rate</f>
        <v>0</v>
      </c>
      <c r="Y87" s="172">
        <f>Table5[[#This Row],[Cost]]+((CompareWarrYrs-Table5[[#This Row],[S]])*(Incremental_Warr_Yr*Table5[[#This Row],[Cost]]))</f>
        <v>0</v>
      </c>
      <c r="Z87" s="6">
        <f>Table5[[#This Row],[$+Warr]]/Table5[[#This Row],[SizTB]]</f>
        <v>0</v>
      </c>
      <c r="AA87" s="6">
        <f>Table5[[#This Row],[$PerTB]]/CompareWarrYrs</f>
        <v>0</v>
      </c>
      <c r="AB87" s="186"/>
      <c r="AC87" s="187"/>
      <c r="AD87" s="183"/>
    </row>
    <row r="88" spans="1:30" x14ac:dyDescent="0.25">
      <c r="A88" s="125">
        <v>43080</v>
      </c>
      <c r="B88" t="s">
        <v>42</v>
      </c>
      <c r="C88" s="126" t="s">
        <v>115</v>
      </c>
      <c r="D88" s="100" t="s">
        <v>50</v>
      </c>
      <c r="E88" s="120">
        <v>2.5</v>
      </c>
      <c r="F88" s="120">
        <v>0.6</v>
      </c>
      <c r="G88" s="46">
        <v>15000</v>
      </c>
      <c r="H88" s="5">
        <v>2</v>
      </c>
      <c r="I88" s="5">
        <v>2.9</v>
      </c>
      <c r="J88" s="65">
        <f>(Table5[[#This Row],[RPM]]/5400-1)</f>
        <v>1.7777777777777777</v>
      </c>
      <c r="K88" s="49">
        <v>259</v>
      </c>
      <c r="L88" s="7">
        <v>5</v>
      </c>
      <c r="M88" s="127">
        <v>600000</v>
      </c>
      <c r="N88" s="7"/>
      <c r="O88" s="127">
        <v>2000000</v>
      </c>
      <c r="P88" s="39">
        <f>10^17</f>
        <v>1E+17</v>
      </c>
      <c r="Q88" s="57"/>
      <c r="R88" s="5">
        <v>9</v>
      </c>
      <c r="S88" s="5">
        <v>5.6</v>
      </c>
      <c r="T88" s="129"/>
      <c r="U88" s="133">
        <f>(((Table5[[#This Row],[Watts Active]]*Power_On_Hours_Year/1000)*Active_Duty_Cycle)+((Table5[[#This Row],[Watts Idle]]*Power_On_Hours_Year/1000)*(100%-Active_Duty_Cycle)))*CostPerKWH</f>
        <v>6.8811216000000002</v>
      </c>
      <c r="V88" s="168">
        <f>Table5[Energy$year]/Table5[[#This Row],[SizTB]]</f>
        <v>11.468536</v>
      </c>
      <c r="W88" s="166"/>
      <c r="X88" s="6">
        <f>Table5[[#This Row],[Cost]]/Table5[[#This Row],[SizTB]]*Exchange_Rate</f>
        <v>0</v>
      </c>
      <c r="Y88" s="172">
        <f>Table5[[#This Row],[Cost]]+((CompareWarrYrs-Table5[[#This Row],[S]])*(Incremental_Warr_Yr*Table5[[#This Row],[Cost]]))*Exchange_Rate</f>
        <v>0</v>
      </c>
      <c r="Z88" s="6">
        <f>Table5[[#This Row],[$+Warr]]/Table5[[#This Row],[SizTB]]</f>
        <v>0</v>
      </c>
      <c r="AA88" s="6">
        <f>Table5[[#This Row],[$PerTB]]/CompareWarrYrs</f>
        <v>0</v>
      </c>
      <c r="AB88" s="186"/>
      <c r="AC88" s="187"/>
      <c r="AD88" s="180" t="s">
        <v>145</v>
      </c>
    </row>
    <row r="89" spans="1:30" x14ac:dyDescent="0.25">
      <c r="A89" s="125">
        <v>43044</v>
      </c>
      <c r="B89" t="s">
        <v>42</v>
      </c>
      <c r="C89" s="126" t="s">
        <v>115</v>
      </c>
      <c r="D89" s="100" t="s">
        <v>50</v>
      </c>
      <c r="E89" s="120">
        <v>2.5</v>
      </c>
      <c r="F89" s="120">
        <v>0.9</v>
      </c>
      <c r="G89" s="46">
        <v>15000</v>
      </c>
      <c r="H89" s="5">
        <v>2</v>
      </c>
      <c r="I89" s="5">
        <v>2.9</v>
      </c>
      <c r="J89" s="65">
        <f>(Table5[[#This Row],[RPM]]/5400-1)</f>
        <v>1.7777777777777777</v>
      </c>
      <c r="K89" s="49">
        <v>259</v>
      </c>
      <c r="L89" s="7">
        <v>5</v>
      </c>
      <c r="M89" s="127">
        <v>600000</v>
      </c>
      <c r="N89" s="7"/>
      <c r="O89" s="127">
        <v>2000000</v>
      </c>
      <c r="P89" s="39">
        <f>10^17</f>
        <v>1E+17</v>
      </c>
      <c r="Q89" s="57"/>
      <c r="R89" s="5">
        <v>9</v>
      </c>
      <c r="S89" s="5">
        <v>5.6</v>
      </c>
      <c r="T89" s="129"/>
      <c r="U89" s="133">
        <f>(((Table5[[#This Row],[Watts Active]]*Power_On_Hours_Year/1000)*Active_Duty_Cycle)+((Table5[[#This Row],[Watts Idle]]*Power_On_Hours_Year/1000)*(100%-Active_Duty_Cycle)))*CostPerKWH</f>
        <v>6.8811216000000002</v>
      </c>
      <c r="V89" s="168">
        <f>Table5[Energy$year]/Table5[[#This Row],[SizTB]]</f>
        <v>7.6456906666666669</v>
      </c>
      <c r="W89" s="166">
        <v>194.39</v>
      </c>
      <c r="X89" s="6">
        <f>Table5[[#This Row],[Cost]]/Table5[[#This Row],[SizTB]]*Exchange_Rate</f>
        <v>215.98888888888888</v>
      </c>
      <c r="Y89" s="172">
        <f>Table5[[#This Row],[Cost]]+((CompareWarrYrs-Table5[[#This Row],[S]])*(Incremental_Warr_Yr*Table5[[#This Row],[Cost]]))*Exchange_Rate</f>
        <v>194.39</v>
      </c>
      <c r="Z89" s="6">
        <f>Table5[[#This Row],[$+Warr]]/Table5[[#This Row],[SizTB]]</f>
        <v>215.98888888888888</v>
      </c>
      <c r="AA89" s="6">
        <f>Table5[[#This Row],[$PerTB]]/CompareWarrYrs</f>
        <v>43.197777777777773</v>
      </c>
      <c r="AB89" s="186"/>
      <c r="AC89" s="187"/>
      <c r="AD89" s="180" t="s">
        <v>145</v>
      </c>
    </row>
    <row r="90" spans="1:30" x14ac:dyDescent="0.25">
      <c r="A90" s="1">
        <v>43046</v>
      </c>
      <c r="B90" t="s">
        <v>42</v>
      </c>
      <c r="C90" s="116" t="s">
        <v>43</v>
      </c>
      <c r="D90" s="31" t="s">
        <v>50</v>
      </c>
      <c r="E90" s="99">
        <v>3.5</v>
      </c>
      <c r="F90" s="85">
        <v>4</v>
      </c>
      <c r="G90" s="46">
        <v>7200</v>
      </c>
      <c r="H90" s="5">
        <v>4.17</v>
      </c>
      <c r="I90" s="5"/>
      <c r="J90" s="65">
        <f>(Table5[[#This Row],[RPM]]/5400-1)</f>
        <v>0.33333333333333326</v>
      </c>
      <c r="K90" s="49">
        <v>200</v>
      </c>
      <c r="L90">
        <v>3</v>
      </c>
      <c r="M90" s="40"/>
      <c r="N90">
        <v>180</v>
      </c>
      <c r="O90" s="40">
        <v>1000000</v>
      </c>
      <c r="P90" s="39">
        <f t="shared" ref="P90:P95" si="9">10^14</f>
        <v>100000000000000</v>
      </c>
      <c r="Q90" s="57"/>
      <c r="R90" s="5">
        <v>9.6</v>
      </c>
      <c r="S90" s="5">
        <v>5.2</v>
      </c>
      <c r="T90" s="129"/>
      <c r="U90" s="133">
        <f>(((Table5[[#This Row],[Watts Active]]*Power_On_Hours_Year/1000)*Active_Duty_Cycle)+((Table5[[#This Row],[Watts Idle]]*Power_On_Hours_Year/1000)*(100%-Active_Duty_Cycle)))*CostPerKWH</f>
        <v>6.6619776000000011</v>
      </c>
      <c r="V90" s="168">
        <f>Table5[Energy$year]/Table5[[#This Row],[SizTB]]</f>
        <v>1.6654944000000003</v>
      </c>
      <c r="W90" s="167">
        <v>139.99</v>
      </c>
      <c r="X90" s="6">
        <f>Table5[[#This Row],[Cost]]/Table5[[#This Row],[SizTB]]*Exchange_Rate</f>
        <v>34.997500000000002</v>
      </c>
      <c r="Y90" s="172">
        <f>Table5[[#This Row],[Cost]]+((CompareWarrYrs-Table5[[#This Row],[S]])*(Incremental_Warr_Yr*Table5[[#This Row],[Cost]]))*Exchange_Rate</f>
        <v>170.7878</v>
      </c>
      <c r="Z90" s="6">
        <f>Table5[[#This Row],[$+Warr]]/Table5[[#This Row],[SizTB]]</f>
        <v>42.696950000000001</v>
      </c>
      <c r="AA90" s="6">
        <f>Table5[[#This Row],[$PerTB]]/CompareWarrYrs</f>
        <v>8.5393900000000009</v>
      </c>
      <c r="AB90" s="186"/>
      <c r="AC90" s="187"/>
      <c r="AD90" s="180"/>
    </row>
    <row r="91" spans="1:30" x14ac:dyDescent="0.25">
      <c r="A91" s="1">
        <v>43080</v>
      </c>
      <c r="B91" t="s">
        <v>42</v>
      </c>
      <c r="C91" s="116" t="s">
        <v>43</v>
      </c>
      <c r="D91" s="31" t="s">
        <v>50</v>
      </c>
      <c r="E91" s="99">
        <v>3.5</v>
      </c>
      <c r="F91" s="85">
        <v>6</v>
      </c>
      <c r="G91" s="46">
        <v>7200</v>
      </c>
      <c r="H91" s="5">
        <v>4.17</v>
      </c>
      <c r="I91" s="5"/>
      <c r="J91" s="65">
        <f>(Table5[[#This Row],[RPM]]/5400-1)</f>
        <v>0.33333333333333326</v>
      </c>
      <c r="K91" s="49">
        <v>210</v>
      </c>
      <c r="L91">
        <v>3</v>
      </c>
      <c r="M91" s="40"/>
      <c r="N91">
        <v>180</v>
      </c>
      <c r="O91" s="40">
        <v>1000000</v>
      </c>
      <c r="P91" s="39">
        <f t="shared" si="9"/>
        <v>100000000000000</v>
      </c>
      <c r="Q91" s="57"/>
      <c r="R91" s="5">
        <v>10.1</v>
      </c>
      <c r="S91" s="5">
        <v>6.7</v>
      </c>
      <c r="T91" s="129"/>
      <c r="U91" s="133">
        <f>(((Table5[[#This Row],[Watts Active]]*Power_On_Hours_Year/1000)*Active_Duty_Cycle)+((Table5[[#This Row],[Watts Idle]]*Power_On_Hours_Year/1000)*(100%-Active_Duty_Cycle)))*CostPerKWH</f>
        <v>8.0864136000000002</v>
      </c>
      <c r="V91" s="168">
        <f>Table5[Energy$year]/Table5[[#This Row],[SizTB]]</f>
        <v>1.3477356</v>
      </c>
      <c r="W91" s="167">
        <v>204.99</v>
      </c>
      <c r="X91" s="6">
        <f>Table5[[#This Row],[Cost]]/Table5[[#This Row],[SizTB]]*Exchange_Rate</f>
        <v>34.164999999999999</v>
      </c>
      <c r="Y91" s="172">
        <f>Table5[[#This Row],[Cost]]+((CompareWarrYrs-Table5[[#This Row],[S]])*(Incremental_Warr_Yr*Table5[[#This Row],[Cost]]))*Exchange_Rate</f>
        <v>250.08780000000002</v>
      </c>
      <c r="Z91" s="6">
        <f>Table5[[#This Row],[$+Warr]]/Table5[[#This Row],[SizTB]]</f>
        <v>41.6813</v>
      </c>
      <c r="AA91" s="6">
        <f>Table5[[#This Row],[$PerTB]]/CompareWarrYrs</f>
        <v>8.3362599999999993</v>
      </c>
      <c r="AB91" s="186"/>
      <c r="AC91" s="187"/>
      <c r="AD91" s="180"/>
    </row>
    <row r="92" spans="1:30" x14ac:dyDescent="0.25">
      <c r="A92" s="1">
        <v>43085</v>
      </c>
      <c r="B92" t="s">
        <v>42</v>
      </c>
      <c r="C92" s="116" t="s">
        <v>43</v>
      </c>
      <c r="D92" s="31" t="s">
        <v>50</v>
      </c>
      <c r="E92" s="99">
        <v>3.5</v>
      </c>
      <c r="F92" s="85">
        <v>8</v>
      </c>
      <c r="G92" s="46">
        <v>7200</v>
      </c>
      <c r="H92" s="5">
        <v>4.17</v>
      </c>
      <c r="I92" s="5"/>
      <c r="J92" s="65">
        <f>(Table5[[#This Row],[RPM]]/5400-1)</f>
        <v>0.33333333333333326</v>
      </c>
      <c r="K92" s="49">
        <v>240</v>
      </c>
      <c r="L92">
        <v>3</v>
      </c>
      <c r="M92" s="40"/>
      <c r="N92">
        <v>180</v>
      </c>
      <c r="O92" s="40">
        <v>1000000</v>
      </c>
      <c r="P92" s="39">
        <f t="shared" si="9"/>
        <v>100000000000000</v>
      </c>
      <c r="Q92" s="57"/>
      <c r="R92" s="5">
        <v>9.1999999999999993</v>
      </c>
      <c r="S92" s="5">
        <v>6.2</v>
      </c>
      <c r="T92" s="129"/>
      <c r="U92" s="133">
        <f>(((Table5[[#This Row],[Watts Active]]*Power_On_Hours_Year/1000)*Active_Duty_Cycle)+((Table5[[#This Row],[Watts Idle]]*Power_On_Hours_Year/1000)*(100%-Active_Duty_Cycle)))*CostPerKWH</f>
        <v>7.4508960000000002</v>
      </c>
      <c r="V92" s="168">
        <f>Table5[Energy$year]/Table5[[#This Row],[SizTB]]</f>
        <v>0.93136200000000002</v>
      </c>
      <c r="W92" s="167">
        <v>227.99</v>
      </c>
      <c r="X92" s="6">
        <f>Table5[[#This Row],[Cost]]/Table5[[#This Row],[SizTB]]*Exchange_Rate</f>
        <v>28.498750000000001</v>
      </c>
      <c r="Y92" s="172">
        <f>Table5[[#This Row],[Cost]]+((CompareWarrYrs-Table5[[#This Row],[S]])*(Incremental_Warr_Yr*Table5[[#This Row],[Cost]]))*Exchange_Rate</f>
        <v>278.14780000000002</v>
      </c>
      <c r="Z92" s="6">
        <f>Table5[[#This Row],[$+Warr]]/Table5[[#This Row],[SizTB]]</f>
        <v>34.768475000000002</v>
      </c>
      <c r="AA92" s="6">
        <f>Table5[[#This Row],[$PerTB]]/CompareWarrYrs</f>
        <v>6.9536950000000006</v>
      </c>
      <c r="AB92" s="186"/>
      <c r="AC92" s="187"/>
      <c r="AD92" s="180"/>
    </row>
    <row r="93" spans="1:30" x14ac:dyDescent="0.25">
      <c r="A93" s="1">
        <v>43088</v>
      </c>
      <c r="B93" t="s">
        <v>42</v>
      </c>
      <c r="C93" s="116" t="s">
        <v>55</v>
      </c>
      <c r="D93" s="31" t="s">
        <v>130</v>
      </c>
      <c r="E93" s="99">
        <v>3.5</v>
      </c>
      <c r="F93" s="85">
        <v>1</v>
      </c>
      <c r="G93" s="46">
        <v>7200</v>
      </c>
      <c r="H93" s="5">
        <v>4.17</v>
      </c>
      <c r="I93" s="5"/>
      <c r="J93" s="65">
        <f>(Table5[[#This Row],[RPM]]/5400-1)</f>
        <v>0.33333333333333326</v>
      </c>
      <c r="K93" s="49"/>
      <c r="L93">
        <v>2</v>
      </c>
      <c r="M93" s="40"/>
      <c r="O93" s="40"/>
      <c r="P93" s="39">
        <f t="shared" si="9"/>
        <v>100000000000000</v>
      </c>
      <c r="Q93" s="57"/>
      <c r="R93" s="5">
        <v>6.4</v>
      </c>
      <c r="S93" s="5">
        <v>3.7</v>
      </c>
      <c r="T93" s="129"/>
      <c r="U93" s="133">
        <f>(((Table5[[#This Row],[Watts Active]]*Power_On_Hours_Year/1000)*Active_Duty_Cycle)+((Table5[[#This Row],[Watts Idle]]*Power_On_Hours_Year/1000)*(100%-Active_Duty_Cycle)))*CostPerKWH</f>
        <v>4.6458528000000001</v>
      </c>
      <c r="V93" s="168">
        <f>Table5[Energy$year]/Table5[[#This Row],[SizTB]]</f>
        <v>4.6458528000000001</v>
      </c>
      <c r="W93" s="167">
        <v>49.99</v>
      </c>
      <c r="X93" s="6">
        <f>Table5[[#This Row],[Cost]]/Table5[[#This Row],[SizTB]]*Exchange_Rate</f>
        <v>49.99</v>
      </c>
      <c r="Y93" s="172">
        <f>Table5[[#This Row],[Cost]]+((CompareWarrYrs-Table5[[#This Row],[S]])*(Incremental_Warr_Yr*Table5[[#This Row],[Cost]]))*Exchange_Rate</f>
        <v>66.486699999999999</v>
      </c>
      <c r="Z93" s="6">
        <f>Table5[[#This Row],[$+Warr]]/Table5[[#This Row],[SizTB]]</f>
        <v>66.486699999999999</v>
      </c>
      <c r="AA93" s="6">
        <f>Table5[[#This Row],[$PerTB]]/CompareWarrYrs</f>
        <v>13.29734</v>
      </c>
      <c r="AB93" s="186"/>
      <c r="AC93" s="187"/>
      <c r="AD93" s="180"/>
    </row>
    <row r="94" spans="1:30" x14ac:dyDescent="0.25">
      <c r="A94" s="1">
        <v>43088</v>
      </c>
      <c r="B94" t="s">
        <v>42</v>
      </c>
      <c r="C94" s="116" t="s">
        <v>55</v>
      </c>
      <c r="D94" s="128" t="s">
        <v>130</v>
      </c>
      <c r="E94" s="99">
        <v>3.5</v>
      </c>
      <c r="F94" s="85">
        <v>2</v>
      </c>
      <c r="G94" s="46">
        <v>7200</v>
      </c>
      <c r="H94" s="5">
        <v>4.17</v>
      </c>
      <c r="I94" s="5"/>
      <c r="J94" s="65">
        <f>(Table5[[#This Row],[RPM]]/5400-1)</f>
        <v>0.33333333333333326</v>
      </c>
      <c r="K94" s="49"/>
      <c r="L94">
        <v>2</v>
      </c>
      <c r="M94" s="40"/>
      <c r="O94" s="40"/>
      <c r="P94" s="39">
        <f t="shared" si="9"/>
        <v>100000000000000</v>
      </c>
      <c r="Q94" s="57"/>
      <c r="R94" s="5">
        <v>6.4</v>
      </c>
      <c r="S94" s="5">
        <v>5.2</v>
      </c>
      <c r="T94" s="129"/>
      <c r="U94" s="133">
        <f>(((Table5[[#This Row],[Watts Active]]*Power_On_Hours_Year/1000)*Active_Duty_Cycle)+((Table5[[#This Row],[Watts Idle]]*Power_On_Hours_Year/1000)*(100%-Active_Duty_Cycle)))*CostPerKWH</f>
        <v>5.960716800000001</v>
      </c>
      <c r="V94" s="168">
        <f>Table5[Energy$year]/Table5[[#This Row],[SizTB]]</f>
        <v>2.9803584000000005</v>
      </c>
      <c r="W94" s="167">
        <v>69.989999999999995</v>
      </c>
      <c r="X94" s="6">
        <f>Table5[[#This Row],[Cost]]/Table5[[#This Row],[SizTB]]*Exchange_Rate</f>
        <v>34.994999999999997</v>
      </c>
      <c r="Y94" s="172">
        <f>Table5[[#This Row],[Cost]]+((CompareWarrYrs-Table5[[#This Row],[S]])*(Incremental_Warr_Yr*Table5[[#This Row],[Cost]]))*Exchange_Rate</f>
        <v>93.086699999999993</v>
      </c>
      <c r="Z94" s="6">
        <f>Table5[[#This Row],[$+Warr]]/Table5[[#This Row],[SizTB]]</f>
        <v>46.543349999999997</v>
      </c>
      <c r="AA94" s="6">
        <f>Table5[[#This Row],[$PerTB]]/CompareWarrYrs</f>
        <v>9.3086699999999993</v>
      </c>
      <c r="AB94" s="186"/>
      <c r="AC94" s="187"/>
      <c r="AD94" s="180"/>
    </row>
    <row r="95" spans="1:30" x14ac:dyDescent="0.25">
      <c r="A95" s="1">
        <v>43088</v>
      </c>
      <c r="B95" t="s">
        <v>42</v>
      </c>
      <c r="C95" s="116" t="s">
        <v>55</v>
      </c>
      <c r="D95" s="128" t="s">
        <v>130</v>
      </c>
      <c r="E95" s="99">
        <v>3.5</v>
      </c>
      <c r="F95" s="85">
        <v>3</v>
      </c>
      <c r="G95" s="46">
        <v>7200</v>
      </c>
      <c r="H95" s="5">
        <v>4.17</v>
      </c>
      <c r="I95" s="5"/>
      <c r="J95" s="65">
        <f>(Table5[[#This Row],[RPM]]/5400-1)</f>
        <v>0.33333333333333326</v>
      </c>
      <c r="K95" s="49"/>
      <c r="L95">
        <v>2</v>
      </c>
      <c r="M95" s="40"/>
      <c r="O95" s="40"/>
      <c r="P95" s="39">
        <f t="shared" si="9"/>
        <v>100000000000000</v>
      </c>
      <c r="Q95" s="57"/>
      <c r="R95" s="5">
        <v>6.4</v>
      </c>
      <c r="S95" s="5">
        <v>5.2</v>
      </c>
      <c r="T95" s="129"/>
      <c r="U95" s="133">
        <f>(((Table5[[#This Row],[Watts Active]]*Power_On_Hours_Year/1000)*Active_Duty_Cycle)+((Table5[[#This Row],[Watts Idle]]*Power_On_Hours_Year/1000)*(100%-Active_Duty_Cycle)))*CostPerKWH</f>
        <v>5.960716800000001</v>
      </c>
      <c r="V95" s="168">
        <f>Table5[Energy$year]/Table5[[#This Row],[SizTB]]</f>
        <v>1.9869056000000003</v>
      </c>
      <c r="W95" s="167">
        <v>74.17</v>
      </c>
      <c r="X95" s="6">
        <f>Table5[[#This Row],[Cost]]/Table5[[#This Row],[SizTB]]*Exchange_Rate</f>
        <v>24.723333333333333</v>
      </c>
      <c r="Y95" s="172">
        <f>Table5[[#This Row],[Cost]]+((CompareWarrYrs-Table5[[#This Row],[S]])*(Incremental_Warr_Yr*Table5[[#This Row],[Cost]]))*Exchange_Rate</f>
        <v>98.646100000000004</v>
      </c>
      <c r="Z95" s="6">
        <f>Table5[[#This Row],[$+Warr]]/Table5[[#This Row],[SizTB]]</f>
        <v>32.882033333333332</v>
      </c>
      <c r="AA95" s="6">
        <f>Table5[[#This Row],[$PerTB]]/CompareWarrYrs</f>
        <v>6.5764066666666663</v>
      </c>
      <c r="AB95" s="186"/>
      <c r="AC95" s="187"/>
      <c r="AD95" s="180"/>
    </row>
    <row r="96" spans="1:30" x14ac:dyDescent="0.25">
      <c r="A96" s="1">
        <v>43055</v>
      </c>
      <c r="B96" t="s">
        <v>42</v>
      </c>
      <c r="C96" s="116" t="s">
        <v>66</v>
      </c>
      <c r="D96" s="128" t="s">
        <v>130</v>
      </c>
      <c r="E96" s="99">
        <v>3.5</v>
      </c>
      <c r="F96" s="85">
        <v>4</v>
      </c>
      <c r="G96" s="46">
        <v>7200</v>
      </c>
      <c r="H96" s="5">
        <v>4.17</v>
      </c>
      <c r="I96" s="5"/>
      <c r="J96" s="65">
        <f>(Table5[[#This Row],[RPM]]/5400-1)</f>
        <v>0.33333333333333326</v>
      </c>
      <c r="K96" s="49"/>
      <c r="L96">
        <v>2</v>
      </c>
      <c r="M96" s="40"/>
      <c r="O96" s="40"/>
      <c r="P96" s="39">
        <f t="shared" ref="P96:P99" si="10">10^14</f>
        <v>100000000000000</v>
      </c>
      <c r="Q96" s="57"/>
      <c r="R96" s="5">
        <v>11.3</v>
      </c>
      <c r="S96" s="5">
        <v>6</v>
      </c>
      <c r="T96" s="129"/>
      <c r="U96" s="133">
        <f>(((Table5[[#This Row],[Watts Active]]*Power_On_Hours_Year/1000)*Active_Duty_Cycle)+((Table5[[#This Row],[Watts Idle]]*Power_On_Hours_Year/1000)*(100%-Active_Duty_Cycle)))*CostPerKWH</f>
        <v>7.7357832000000002</v>
      </c>
      <c r="V96" s="168">
        <f>Table5[Energy$year]/Table5[[#This Row],[SizTB]]</f>
        <v>1.9339458</v>
      </c>
      <c r="W96" s="166">
        <v>119.99</v>
      </c>
      <c r="X96" s="6">
        <f>Table5[[#This Row],[Cost]]/Table5[[#This Row],[SizTB]]*Exchange_Rate</f>
        <v>29.997499999999999</v>
      </c>
      <c r="Y96" s="172">
        <f>Table5[[#This Row],[Cost]]+((CompareWarrYrs-Table5[[#This Row],[S]])*(Incremental_Warr_Yr*Table5[[#This Row],[Cost]]))*Exchange_Rate</f>
        <v>159.58670000000001</v>
      </c>
      <c r="Z96" s="6">
        <f>Table5[[#This Row],[$+Warr]]/Table5[[#This Row],[SizTB]]</f>
        <v>39.896675000000002</v>
      </c>
      <c r="AA96" s="6">
        <f>Table5[[#This Row],[$PerTB]]/CompareWarrYrs</f>
        <v>7.9793350000000007</v>
      </c>
      <c r="AB96" s="186">
        <v>31</v>
      </c>
      <c r="AC96" s="187"/>
      <c r="AD96" s="180"/>
    </row>
    <row r="97" spans="1:30" x14ac:dyDescent="0.25">
      <c r="A97" s="1">
        <v>43101</v>
      </c>
      <c r="B97" t="s">
        <v>42</v>
      </c>
      <c r="C97" s="116" t="s">
        <v>66</v>
      </c>
      <c r="D97" s="128" t="s">
        <v>130</v>
      </c>
      <c r="E97" s="99">
        <v>3.5</v>
      </c>
      <c r="F97" s="85">
        <v>5</v>
      </c>
      <c r="G97" s="46">
        <v>7200</v>
      </c>
      <c r="H97" s="5">
        <v>4.17</v>
      </c>
      <c r="I97" s="5"/>
      <c r="J97" s="65">
        <f>(Table5[[#This Row],[RPM]]/5400-1)</f>
        <v>0.33333333333333326</v>
      </c>
      <c r="K97" s="49"/>
      <c r="L97">
        <v>2</v>
      </c>
      <c r="M97" s="40"/>
      <c r="O97" s="40"/>
      <c r="P97" s="39">
        <f t="shared" si="10"/>
        <v>100000000000000</v>
      </c>
      <c r="Q97" s="57"/>
      <c r="R97" s="5">
        <v>11.3</v>
      </c>
      <c r="S97" s="5">
        <v>6</v>
      </c>
      <c r="T97" s="129"/>
      <c r="U97" s="133">
        <f>(((Table5[[#This Row],[Watts Active]]*Power_On_Hours_Year/1000)*Active_Duty_Cycle)+((Table5[[#This Row],[Watts Idle]]*Power_On_Hours_Year/1000)*(100%-Active_Duty_Cycle)))*CostPerKWH</f>
        <v>7.7357832000000002</v>
      </c>
      <c r="V97" s="168">
        <f>Table5[Energy$year]/Table5[[#This Row],[SizTB]]</f>
        <v>1.5471566400000001</v>
      </c>
      <c r="W97" s="167">
        <v>114.99</v>
      </c>
      <c r="X97" s="6">
        <f>Table5[[#This Row],[Cost]]/Table5[[#This Row],[SizTB]]*Exchange_Rate</f>
        <v>22.997999999999998</v>
      </c>
      <c r="Y97" s="172">
        <f>Table5[[#This Row],[Cost]]+((CompareWarrYrs-Table5[[#This Row],[S]])*(Incremental_Warr_Yr*Table5[[#This Row],[Cost]]))*Exchange_Rate</f>
        <v>152.9367</v>
      </c>
      <c r="Z97" s="6">
        <f>Table5[[#This Row],[$+Warr]]/Table5[[#This Row],[SizTB]]</f>
        <v>30.587340000000001</v>
      </c>
      <c r="AA97" s="6">
        <f>Table5[[#This Row],[$PerTB]]/CompareWarrYrs</f>
        <v>6.1174680000000006</v>
      </c>
      <c r="AB97" s="186">
        <v>31</v>
      </c>
      <c r="AC97" s="187"/>
      <c r="AD97" s="180"/>
    </row>
    <row r="98" spans="1:30" x14ac:dyDescent="0.25">
      <c r="A98" s="1">
        <v>43080</v>
      </c>
      <c r="B98" t="s">
        <v>42</v>
      </c>
      <c r="C98" s="116" t="s">
        <v>66</v>
      </c>
      <c r="D98" s="128" t="s">
        <v>130</v>
      </c>
      <c r="E98" s="99">
        <v>3.5</v>
      </c>
      <c r="F98" s="85">
        <v>6</v>
      </c>
      <c r="G98" s="46">
        <v>7200</v>
      </c>
      <c r="H98" s="5">
        <v>4.17</v>
      </c>
      <c r="I98" s="5"/>
      <c r="J98" s="65">
        <f>(Table5[[#This Row],[RPM]]/5400-1)</f>
        <v>0.33333333333333326</v>
      </c>
      <c r="K98" s="49"/>
      <c r="L98">
        <v>2</v>
      </c>
      <c r="M98" s="40"/>
      <c r="O98" s="40"/>
      <c r="P98" s="39">
        <f t="shared" si="10"/>
        <v>100000000000000</v>
      </c>
      <c r="Q98" s="57"/>
      <c r="R98" s="5">
        <v>11.3</v>
      </c>
      <c r="S98" s="5">
        <v>6</v>
      </c>
      <c r="T98" s="129"/>
      <c r="U98" s="133">
        <f>(((Table5[[#This Row],[Watts Active]]*Power_On_Hours_Year/1000)*Active_Duty_Cycle)+((Table5[[#This Row],[Watts Idle]]*Power_On_Hours_Year/1000)*(100%-Active_Duty_Cycle)))*CostPerKWH</f>
        <v>7.7357832000000002</v>
      </c>
      <c r="V98" s="168">
        <f>Table5[Energy$year]/Table5[[#This Row],[SizTB]]</f>
        <v>1.2892972</v>
      </c>
      <c r="W98" s="167">
        <v>189.99</v>
      </c>
      <c r="X98" s="6">
        <f>Table5[[#This Row],[Cost]]/Table5[[#This Row],[SizTB]]*Exchange_Rate</f>
        <v>31.665000000000003</v>
      </c>
      <c r="Y98" s="172">
        <f>Table5[[#This Row],[Cost]]+((CompareWarrYrs-Table5[[#This Row],[S]])*(Incremental_Warr_Yr*Table5[[#This Row],[Cost]]))*Exchange_Rate</f>
        <v>252.68670000000003</v>
      </c>
      <c r="Z98" s="6">
        <f>Table5[[#This Row],[$+Warr]]/Table5[[#This Row],[SizTB]]</f>
        <v>42.114450000000005</v>
      </c>
      <c r="AA98" s="6">
        <f>Table5[[#This Row],[$PerTB]]/CompareWarrYrs</f>
        <v>8.4228900000000007</v>
      </c>
      <c r="AB98" s="186">
        <v>34</v>
      </c>
      <c r="AC98" s="187"/>
      <c r="AD98" s="180"/>
    </row>
    <row r="99" spans="1:30" ht="15.75" thickBot="1" x14ac:dyDescent="0.3">
      <c r="A99" s="69">
        <v>43080</v>
      </c>
      <c r="B99" s="70" t="s">
        <v>42</v>
      </c>
      <c r="C99" s="115" t="s">
        <v>66</v>
      </c>
      <c r="D99" s="71" t="s">
        <v>130</v>
      </c>
      <c r="E99" s="86">
        <v>3.5</v>
      </c>
      <c r="F99" s="86">
        <v>8</v>
      </c>
      <c r="G99" s="72">
        <v>7200</v>
      </c>
      <c r="H99" s="73">
        <v>4.17</v>
      </c>
      <c r="I99" s="73"/>
      <c r="J99" s="74">
        <f>(Table5[[#This Row],[RPM]]/5400-1)</f>
        <v>0.33333333333333326</v>
      </c>
      <c r="K99" s="75"/>
      <c r="L99" s="70">
        <v>2</v>
      </c>
      <c r="M99" s="76"/>
      <c r="N99" s="70"/>
      <c r="O99" s="76"/>
      <c r="P99" s="162">
        <f t="shared" si="10"/>
        <v>100000000000000</v>
      </c>
      <c r="Q99" s="78"/>
      <c r="R99" s="161">
        <v>11.3</v>
      </c>
      <c r="S99" s="161">
        <v>6</v>
      </c>
      <c r="T99" s="130"/>
      <c r="U99" s="133">
        <f>(((Table5[[#This Row],[Watts Active]]*Power_On_Hours_Year/1000)*Active_Duty_Cycle)+((Table5[[#This Row],[Watts Idle]]*Power_On_Hours_Year/1000)*(100%-Active_Duty_Cycle)))*CostPerKWH</f>
        <v>7.7357832000000002</v>
      </c>
      <c r="V99" s="168">
        <f>Table5[Energy$year]/Table5[[#This Row],[SizTB]]</f>
        <v>0.96697290000000002</v>
      </c>
      <c r="W99" s="165">
        <v>249.99</v>
      </c>
      <c r="X99" s="79">
        <f>Table5[[#This Row],[Cost]]/Table5[[#This Row],[SizTB]]*Exchange_Rate</f>
        <v>31.248750000000001</v>
      </c>
      <c r="Y99" s="172">
        <f>Table5[[#This Row],[Cost]]+((CompareWarrYrs-Table5[[#This Row],[S]])*(Incremental_Warr_Yr*Table5[[#This Row],[Cost]]))*Exchange_Rate</f>
        <v>332.48670000000004</v>
      </c>
      <c r="Z99" s="79">
        <f>Table5[[#This Row],[$+Warr]]/Table5[[#This Row],[SizTB]]</f>
        <v>41.560837500000005</v>
      </c>
      <c r="AA99" s="79">
        <f>Table5[[#This Row],[$PerTB]]/CompareWarrYrs</f>
        <v>8.312167500000001</v>
      </c>
      <c r="AB99" s="188">
        <v>34</v>
      </c>
      <c r="AC99" s="189"/>
      <c r="AD99" s="80"/>
    </row>
    <row r="100" spans="1:30" ht="15.75" thickTop="1" x14ac:dyDescent="0.25">
      <c r="A100" s="1">
        <v>43046</v>
      </c>
      <c r="B100" t="s">
        <v>6</v>
      </c>
      <c r="C100" s="116" t="s">
        <v>81</v>
      </c>
      <c r="D100" s="31" t="s">
        <v>50</v>
      </c>
      <c r="E100" s="99">
        <v>3.5</v>
      </c>
      <c r="F100" s="85">
        <v>6</v>
      </c>
      <c r="G100" s="46">
        <v>5760</v>
      </c>
      <c r="H100" s="5"/>
      <c r="I100" s="5"/>
      <c r="J100" s="65">
        <f>(Table5[[#This Row],[RPM]]/5400-1)</f>
        <v>6.6666666666666652E-2</v>
      </c>
      <c r="K100" s="49">
        <v>150</v>
      </c>
      <c r="L100">
        <v>3</v>
      </c>
      <c r="M100" s="40">
        <v>300000</v>
      </c>
      <c r="O100" s="40">
        <v>500000</v>
      </c>
      <c r="P100" s="39">
        <f t="shared" ref="P100:P105" si="11">10^14</f>
        <v>100000000000000</v>
      </c>
      <c r="Q100" s="57"/>
      <c r="R100" s="5">
        <v>6.5</v>
      </c>
      <c r="S100" s="5">
        <v>4.8</v>
      </c>
      <c r="T100" s="129"/>
      <c r="U100" s="133">
        <f>(((Table5[[#This Row],[Watts Active]]*Power_On_Hours_Year/1000)*Active_Duty_Cycle)+((Table5[[#This Row],[Watts Idle]]*Power_On_Hours_Year/1000)*(100%-Active_Duty_Cycle)))*CostPerKWH</f>
        <v>5.6320008000000001</v>
      </c>
      <c r="V100" s="168">
        <f>Table5[Energy$year]/Table5[[#This Row],[SizTB]]</f>
        <v>0.93866680000000002</v>
      </c>
      <c r="W100" s="167">
        <v>159.99</v>
      </c>
      <c r="X100" s="6">
        <f>Table5[[#This Row],[Cost]]/Table5[[#This Row],[SizTB]]*Exchange_Rate</f>
        <v>26.665000000000003</v>
      </c>
      <c r="Y100" s="172">
        <f>Table5[[#This Row],[Cost]]+((CompareWarrYrs-Table5[[#This Row],[S]])*(Incremental_Warr_Yr*Table5[[#This Row],[Cost]]))*Exchange_Rate</f>
        <v>195.18780000000001</v>
      </c>
      <c r="Z100" s="6">
        <f>Table5[[#This Row],[$+Warr]]/Table5[[#This Row],[SizTB]]</f>
        <v>32.531300000000002</v>
      </c>
      <c r="AA100" s="6">
        <f>Table5[[#This Row],[$PerTB]]/CompareWarrYrs</f>
        <v>6.5062600000000002</v>
      </c>
      <c r="AB100" s="186"/>
      <c r="AC100" s="187"/>
      <c r="AD100" s="44"/>
    </row>
    <row r="101" spans="1:30" x14ac:dyDescent="0.25">
      <c r="A101" s="1">
        <v>43092</v>
      </c>
      <c r="B101" t="s">
        <v>6</v>
      </c>
      <c r="C101" s="116" t="s">
        <v>5</v>
      </c>
      <c r="D101" s="122" t="s">
        <v>130</v>
      </c>
      <c r="E101" s="99">
        <v>2.5</v>
      </c>
      <c r="F101" s="85">
        <v>1</v>
      </c>
      <c r="G101" s="46">
        <v>7200</v>
      </c>
      <c r="H101" s="5"/>
      <c r="I101" s="5"/>
      <c r="J101" s="65">
        <f>(Table5[[#This Row],[RPM]]/5400-1)</f>
        <v>0.33333333333333326</v>
      </c>
      <c r="K101" s="49"/>
      <c r="L101">
        <v>5</v>
      </c>
      <c r="M101" s="40">
        <v>600000</v>
      </c>
      <c r="O101" s="40"/>
      <c r="P101" s="39">
        <f t="shared" si="11"/>
        <v>100000000000000</v>
      </c>
      <c r="Q101" s="57">
        <f>1.1*5</f>
        <v>5.5</v>
      </c>
      <c r="R101" s="5">
        <v>1.8</v>
      </c>
      <c r="S101" s="5">
        <v>0.8</v>
      </c>
      <c r="T101" s="129">
        <v>0.2</v>
      </c>
      <c r="U101" s="133">
        <f>(((Table5[[#This Row],[Watts Active]]*Power_On_Hours_Year/1000)*Active_Duty_Cycle)+((Table5[[#This Row],[Watts Idle]]*Power_On_Hours_Year/1000)*(100%-Active_Duty_Cycle)))*CostPerKWH</f>
        <v>1.09572</v>
      </c>
      <c r="V101" s="168">
        <f>Table5[Energy$year]/Table5[[#This Row],[SizTB]]</f>
        <v>1.09572</v>
      </c>
      <c r="W101" s="167">
        <v>59.99</v>
      </c>
      <c r="X101" s="6">
        <f>Table5[[#This Row],[Cost]]/Table5[[#This Row],[SizTB]]*Exchange_Rate</f>
        <v>59.99</v>
      </c>
      <c r="Y101" s="172">
        <f>Table5[[#This Row],[Cost]]+((CompareWarrYrs-Table5[[#This Row],[S]])*(Incremental_Warr_Yr*Table5[[#This Row],[Cost]]))*Exchange_Rate</f>
        <v>59.99</v>
      </c>
      <c r="Z101" s="6">
        <f>Table5[[#This Row],[$+Warr]]/Table5[[#This Row],[SizTB]]</f>
        <v>59.99</v>
      </c>
      <c r="AA101" s="6">
        <f>Table5[[#This Row],[$PerTB]]/CompareWarrYrs</f>
        <v>11.998000000000001</v>
      </c>
      <c r="AB101" s="186">
        <v>25</v>
      </c>
      <c r="AC101" s="187">
        <v>27</v>
      </c>
      <c r="AD101" s="44"/>
    </row>
    <row r="102" spans="1:30" x14ac:dyDescent="0.25">
      <c r="A102" s="1">
        <v>43083</v>
      </c>
      <c r="B102" t="s">
        <v>6</v>
      </c>
      <c r="C102" s="116" t="s">
        <v>5</v>
      </c>
      <c r="D102" s="128" t="s">
        <v>130</v>
      </c>
      <c r="E102" s="99">
        <v>3.5</v>
      </c>
      <c r="F102" s="85">
        <v>1</v>
      </c>
      <c r="G102" s="46">
        <v>7200</v>
      </c>
      <c r="H102" s="5"/>
      <c r="I102" s="5"/>
      <c r="J102" s="65">
        <f>(Table5[[#This Row],[RPM]]/5400-1)</f>
        <v>0.33333333333333326</v>
      </c>
      <c r="K102" s="49">
        <v>150</v>
      </c>
      <c r="L102">
        <v>5</v>
      </c>
      <c r="M102" s="40">
        <v>300000</v>
      </c>
      <c r="O102" s="40"/>
      <c r="P102" s="39">
        <f t="shared" si="11"/>
        <v>100000000000000</v>
      </c>
      <c r="Q102" s="57"/>
      <c r="R102" s="5">
        <v>6.8</v>
      </c>
      <c r="S102" s="5">
        <v>6.1</v>
      </c>
      <c r="T102" s="129">
        <v>0.8</v>
      </c>
      <c r="U102" s="133">
        <f>(((Table5[[#This Row],[Watts Active]]*Power_On_Hours_Year/1000)*Active_Duty_Cycle)+((Table5[[#This Row],[Watts Idle]]*Power_On_Hours_Year/1000)*(100%-Active_Duty_Cycle)))*CostPerKWH</f>
        <v>6.8372928000000002</v>
      </c>
      <c r="V102" s="168">
        <f>Table5[Energy$year]/Table5[[#This Row],[SizTB]]</f>
        <v>6.8372928000000002</v>
      </c>
      <c r="W102" s="167">
        <v>64.989999999999995</v>
      </c>
      <c r="X102" s="6">
        <f>Table5[[#This Row],[Cost]]/Table5[[#This Row],[SizTB]]*Exchange_Rate</f>
        <v>64.989999999999995</v>
      </c>
      <c r="Y102" s="172">
        <f>Table5[[#This Row],[Cost]]+((CompareWarrYrs-Table5[[#This Row],[S]])*(Incremental_Warr_Yr*Table5[[#This Row],[Cost]]))*Exchange_Rate</f>
        <v>64.989999999999995</v>
      </c>
      <c r="Z102" s="6">
        <f>Table5[[#This Row],[$+Warr]]/Table5[[#This Row],[SizTB]]</f>
        <v>64.989999999999995</v>
      </c>
      <c r="AA102" s="6">
        <f>Table5[[#This Row],[$PerTB]]/CompareWarrYrs</f>
        <v>12.997999999999999</v>
      </c>
      <c r="AB102" s="186">
        <v>29</v>
      </c>
      <c r="AC102" s="187">
        <v>30</v>
      </c>
      <c r="AD102" s="44"/>
    </row>
    <row r="103" spans="1:30" x14ac:dyDescent="0.25">
      <c r="A103" s="1">
        <v>43053</v>
      </c>
      <c r="B103" t="s">
        <v>6</v>
      </c>
      <c r="C103" s="116" t="s">
        <v>5</v>
      </c>
      <c r="D103" s="128" t="s">
        <v>130</v>
      </c>
      <c r="E103" s="99">
        <v>3.5</v>
      </c>
      <c r="F103" s="85">
        <v>2</v>
      </c>
      <c r="G103" s="46">
        <v>7200</v>
      </c>
      <c r="H103" s="5"/>
      <c r="I103" s="5"/>
      <c r="J103" s="65">
        <f>(Table5[[#This Row],[RPM]]/5400-1)</f>
        <v>0.33333333333333326</v>
      </c>
      <c r="K103" s="49">
        <v>164</v>
      </c>
      <c r="L103">
        <v>5</v>
      </c>
      <c r="M103" s="40">
        <v>300000</v>
      </c>
      <c r="O103" s="40"/>
      <c r="P103" s="39">
        <f t="shared" si="11"/>
        <v>100000000000000</v>
      </c>
      <c r="Q103" s="57"/>
      <c r="R103" s="5">
        <v>9.5</v>
      </c>
      <c r="S103" s="5">
        <v>8.1</v>
      </c>
      <c r="T103" s="129">
        <v>1.3</v>
      </c>
      <c r="U103" s="133">
        <f>(((Table5[[#This Row],[Watts Active]]*Power_On_Hours_Year/1000)*Active_Duty_Cycle)+((Table5[[#This Row],[Watts Idle]]*Power_On_Hours_Year/1000)*(100%-Active_Duty_Cycle)))*CostPerKWH</f>
        <v>9.1821336000000002</v>
      </c>
      <c r="V103" s="168">
        <f>Table5[Energy$year]/Table5[[#This Row],[SizTB]]</f>
        <v>4.5910668000000001</v>
      </c>
      <c r="W103" s="167">
        <v>124.99</v>
      </c>
      <c r="X103" s="6">
        <f>Table5[[#This Row],[Cost]]/Table5[[#This Row],[SizTB]]*Exchange_Rate</f>
        <v>62.494999999999997</v>
      </c>
      <c r="Y103" s="172">
        <f>Table5[[#This Row],[Cost]]+((CompareWarrYrs-Table5[[#This Row],[S]])*(Incremental_Warr_Yr*Table5[[#This Row],[Cost]]))*Exchange_Rate</f>
        <v>124.99</v>
      </c>
      <c r="Z103" s="6">
        <f>Table5[[#This Row],[$+Warr]]/Table5[[#This Row],[SizTB]]</f>
        <v>62.494999999999997</v>
      </c>
      <c r="AA103" s="6">
        <f>Table5[[#This Row],[$PerTB]]/CompareWarrYrs</f>
        <v>12.498999999999999</v>
      </c>
      <c r="AB103" s="186">
        <v>29</v>
      </c>
      <c r="AC103" s="187">
        <v>34</v>
      </c>
      <c r="AD103" s="44"/>
    </row>
    <row r="104" spans="1:30" x14ac:dyDescent="0.25">
      <c r="A104" s="1">
        <v>43101</v>
      </c>
      <c r="B104" t="s">
        <v>6</v>
      </c>
      <c r="C104" s="116" t="s">
        <v>5</v>
      </c>
      <c r="D104" s="128" t="s">
        <v>130</v>
      </c>
      <c r="E104" s="99">
        <v>3.5</v>
      </c>
      <c r="F104" s="85">
        <v>4</v>
      </c>
      <c r="G104" s="46">
        <v>7200</v>
      </c>
      <c r="H104" s="5"/>
      <c r="I104" s="5"/>
      <c r="J104" s="65">
        <f>(Table5[[#This Row],[RPM]]/5400-1)</f>
        <v>0.33333333333333326</v>
      </c>
      <c r="K104" s="49">
        <v>202</v>
      </c>
      <c r="L104">
        <v>5</v>
      </c>
      <c r="M104" s="40">
        <v>300000</v>
      </c>
      <c r="O104" s="40"/>
      <c r="P104" s="39">
        <f t="shared" si="11"/>
        <v>100000000000000</v>
      </c>
      <c r="Q104" s="57"/>
      <c r="R104" s="5">
        <v>9.1</v>
      </c>
      <c r="S104" s="5">
        <v>5.8</v>
      </c>
      <c r="T104" s="129">
        <v>1</v>
      </c>
      <c r="U104" s="133">
        <f>(((Table5[[#This Row],[Watts Active]]*Power_On_Hours_Year/1000)*Active_Duty_Cycle)+((Table5[[#This Row],[Watts Idle]]*Power_On_Hours_Year/1000)*(100%-Active_Duty_Cycle)))*CostPerKWH</f>
        <v>7.0783512000000002</v>
      </c>
      <c r="V104" s="168">
        <f>Table5[Energy$year]/Table5[[#This Row],[SizTB]]</f>
        <v>1.7695878</v>
      </c>
      <c r="W104" s="167">
        <v>169.99</v>
      </c>
      <c r="X104" s="6">
        <f>Table5[[#This Row],[Cost]]/Table5[[#This Row],[SizTB]]*Exchange_Rate</f>
        <v>42.497500000000002</v>
      </c>
      <c r="Y104" s="172">
        <f>Table5[[#This Row],[Cost]]+((CompareWarrYrs-Table5[[#This Row],[S]])*(Incremental_Warr_Yr*Table5[[#This Row],[Cost]]))*Exchange_Rate</f>
        <v>169.99</v>
      </c>
      <c r="Z104" s="6">
        <f>Table5[[#This Row],[$+Warr]]/Table5[[#This Row],[SizTB]]</f>
        <v>42.497500000000002</v>
      </c>
      <c r="AA104" s="6">
        <f>Table5[[#This Row],[$PerTB]]/CompareWarrYrs</f>
        <v>8.4995000000000012</v>
      </c>
      <c r="AB104" s="186">
        <v>29</v>
      </c>
      <c r="AC104" s="187">
        <v>36</v>
      </c>
      <c r="AD104" s="44"/>
    </row>
    <row r="105" spans="1:30" x14ac:dyDescent="0.25">
      <c r="A105" s="1">
        <v>43080</v>
      </c>
      <c r="B105" t="s">
        <v>6</v>
      </c>
      <c r="C105" s="116" t="s">
        <v>5</v>
      </c>
      <c r="D105" s="128" t="s">
        <v>130</v>
      </c>
      <c r="E105" s="99">
        <v>3.5</v>
      </c>
      <c r="F105" s="85">
        <v>6</v>
      </c>
      <c r="G105" s="46">
        <v>7200</v>
      </c>
      <c r="H105" s="5"/>
      <c r="I105" s="5"/>
      <c r="J105" s="65">
        <f>(Table5[[#This Row],[RPM]]/5400-1)</f>
        <v>0.33333333333333326</v>
      </c>
      <c r="K105" s="49">
        <v>227</v>
      </c>
      <c r="L105">
        <v>5</v>
      </c>
      <c r="M105" s="40">
        <v>300000</v>
      </c>
      <c r="O105" s="40"/>
      <c r="P105" s="39">
        <f t="shared" si="11"/>
        <v>100000000000000</v>
      </c>
      <c r="Q105" s="57"/>
      <c r="R105" s="5">
        <v>9.1</v>
      </c>
      <c r="S105" s="5">
        <v>7.1</v>
      </c>
      <c r="T105" s="129">
        <v>1</v>
      </c>
      <c r="U105" s="133">
        <f>(((Table5[[#This Row],[Watts Active]]*Power_On_Hours_Year/1000)*Active_Duty_Cycle)+((Table5[[#This Row],[Watts Idle]]*Power_On_Hours_Year/1000)*(100%-Active_Duty_Cycle)))*CostPerKWH</f>
        <v>8.2179000000000002</v>
      </c>
      <c r="V105" s="168">
        <f>Table5[Energy$year]/Table5[[#This Row],[SizTB]]</f>
        <v>1.36965</v>
      </c>
      <c r="W105" s="167">
        <v>229.99</v>
      </c>
      <c r="X105" s="6">
        <f>Table5[[#This Row],[Cost]]/Table5[[#This Row],[SizTB]]*Exchange_Rate</f>
        <v>38.331666666666671</v>
      </c>
      <c r="Y105" s="172">
        <f>Table5[[#This Row],[Cost]]+((CompareWarrYrs-Table5[[#This Row],[S]])*(Incremental_Warr_Yr*Table5[[#This Row],[Cost]]))*Exchange_Rate</f>
        <v>229.99</v>
      </c>
      <c r="Z105" s="6">
        <f>Table5[[#This Row],[$+Warr]]/Table5[[#This Row],[SizTB]]</f>
        <v>38.331666666666671</v>
      </c>
      <c r="AA105" s="6">
        <f>Table5[[#This Row],[$PerTB]]/CompareWarrYrs</f>
        <v>7.6663333333333341</v>
      </c>
      <c r="AB105" s="186">
        <v>29</v>
      </c>
      <c r="AC105" s="187">
        <v>36</v>
      </c>
      <c r="AD105" s="44"/>
    </row>
    <row r="106" spans="1:30" x14ac:dyDescent="0.25">
      <c r="A106" s="1">
        <v>43046</v>
      </c>
      <c r="B106" t="s">
        <v>6</v>
      </c>
      <c r="C106" s="116" t="s">
        <v>28</v>
      </c>
      <c r="D106" s="128" t="s">
        <v>130</v>
      </c>
      <c r="E106" s="99">
        <v>3.5</v>
      </c>
      <c r="F106" s="85">
        <v>1</v>
      </c>
      <c r="G106" s="46">
        <v>5400</v>
      </c>
      <c r="H106" s="5"/>
      <c r="I106" s="5"/>
      <c r="J106" s="65">
        <f>(Table5[[#This Row],[RPM]]/5400-1)</f>
        <v>0</v>
      </c>
      <c r="K106" s="49">
        <v>150</v>
      </c>
      <c r="L106">
        <v>2</v>
      </c>
      <c r="M106" s="40">
        <v>300000</v>
      </c>
      <c r="O106" s="40"/>
      <c r="P106" s="39">
        <f t="shared" ref="P106:P112" si="12">10^14</f>
        <v>100000000000000</v>
      </c>
      <c r="Q106" s="57"/>
      <c r="R106" s="5">
        <v>3.3</v>
      </c>
      <c r="S106" s="5">
        <v>2.5</v>
      </c>
      <c r="T106" s="129">
        <v>0.4</v>
      </c>
      <c r="U106" s="133">
        <f>(((Table5[[#This Row],[Watts Active]]*Power_On_Hours_Year/1000)*Active_Duty_Cycle)+((Table5[[#This Row],[Watts Idle]]*Power_On_Hours_Year/1000)*(100%-Active_Duty_Cycle)))*CostPerKWH</f>
        <v>2.9146152000000001</v>
      </c>
      <c r="V106" s="168">
        <f>Table5[Energy$year]/Table5[[#This Row],[SizTB]]</f>
        <v>2.9146152000000001</v>
      </c>
      <c r="W106" s="167">
        <v>49</v>
      </c>
      <c r="X106" s="6">
        <f>Table5[[#This Row],[Cost]]/Table5[[#This Row],[SizTB]]*Exchange_Rate</f>
        <v>49</v>
      </c>
      <c r="Y106" s="172">
        <f>Table5[[#This Row],[Cost]]+((CompareWarrYrs-Table5[[#This Row],[S]])*(Incremental_Warr_Yr*Table5[[#This Row],[Cost]]))*Exchange_Rate</f>
        <v>65.17</v>
      </c>
      <c r="Z106" s="6">
        <f>Table5[[#This Row],[$+Warr]]/Table5[[#This Row],[SizTB]]</f>
        <v>65.17</v>
      </c>
      <c r="AA106" s="6">
        <f>Table5[[#This Row],[$PerTB]]/CompareWarrYrs</f>
        <v>13.034000000000001</v>
      </c>
      <c r="AB106" s="186">
        <v>21</v>
      </c>
      <c r="AC106" s="187">
        <v>24</v>
      </c>
      <c r="AD106" s="44"/>
    </row>
    <row r="107" spans="1:30" x14ac:dyDescent="0.25">
      <c r="A107" s="1">
        <v>43093</v>
      </c>
      <c r="B107" t="s">
        <v>6</v>
      </c>
      <c r="C107" s="116" t="s">
        <v>28</v>
      </c>
      <c r="D107" s="128" t="s">
        <v>130</v>
      </c>
      <c r="E107" s="99">
        <v>3.5</v>
      </c>
      <c r="F107" s="85">
        <v>2</v>
      </c>
      <c r="G107" s="46">
        <v>5400</v>
      </c>
      <c r="H107" s="5"/>
      <c r="I107" s="5"/>
      <c r="J107" s="65">
        <f>(Table5[[#This Row],[RPM]]/5400-1)</f>
        <v>0</v>
      </c>
      <c r="K107" s="49">
        <v>147</v>
      </c>
      <c r="L107">
        <v>2</v>
      </c>
      <c r="M107" s="40">
        <v>300000</v>
      </c>
      <c r="O107" s="40"/>
      <c r="P107" s="39">
        <f t="shared" si="12"/>
        <v>100000000000000</v>
      </c>
      <c r="Q107" s="57">
        <f>12*1.73</f>
        <v>20.759999999999998</v>
      </c>
      <c r="R107" s="5">
        <v>4.0999999999999996</v>
      </c>
      <c r="S107" s="5">
        <v>3</v>
      </c>
      <c r="T107" s="129">
        <v>0.4</v>
      </c>
      <c r="U107" s="133">
        <f>(((Table5[[#This Row],[Watts Active]]*Power_On_Hours_Year/1000)*Active_Duty_Cycle)+((Table5[[#This Row],[Watts Idle]]*Power_On_Hours_Year/1000)*(100%-Active_Duty_Cycle)))*CostPerKWH</f>
        <v>3.5282184000000001</v>
      </c>
      <c r="V107" s="168">
        <f>Table5[Energy$year]/Table5[[#This Row],[SizTB]]</f>
        <v>1.7641092</v>
      </c>
      <c r="W107" s="167">
        <v>59.99</v>
      </c>
      <c r="X107" s="6">
        <f>Table5[[#This Row],[Cost]]/Table5[[#This Row],[SizTB]]*Exchange_Rate</f>
        <v>29.995000000000001</v>
      </c>
      <c r="Y107" s="172">
        <f>Table5[[#This Row],[Cost]]+((CompareWarrYrs-Table5[[#This Row],[S]])*(Incremental_Warr_Yr*Table5[[#This Row],[Cost]]))*Exchange_Rate</f>
        <v>79.786699999999996</v>
      </c>
      <c r="Z107" s="6">
        <f>Table5[[#This Row],[$+Warr]]/Table5[[#This Row],[SizTB]]</f>
        <v>39.893349999999998</v>
      </c>
      <c r="AA107" s="6">
        <f>Table5[[#This Row],[$PerTB]]/CompareWarrYrs</f>
        <v>7.9786699999999993</v>
      </c>
      <c r="AB107" s="186">
        <v>23</v>
      </c>
      <c r="AC107" s="187">
        <v>27</v>
      </c>
      <c r="AD107" s="44"/>
    </row>
    <row r="108" spans="1:30" x14ac:dyDescent="0.25">
      <c r="A108" s="1">
        <v>43033</v>
      </c>
      <c r="B108" t="s">
        <v>6</v>
      </c>
      <c r="C108" s="116" t="s">
        <v>28</v>
      </c>
      <c r="D108" s="128" t="s">
        <v>130</v>
      </c>
      <c r="E108" s="99">
        <v>3.5</v>
      </c>
      <c r="F108" s="85">
        <v>3</v>
      </c>
      <c r="G108" s="46">
        <v>5400</v>
      </c>
      <c r="H108" s="5"/>
      <c r="I108" s="5"/>
      <c r="J108" s="65">
        <f>(Table5[[#This Row],[RPM]]/5400-1)</f>
        <v>0</v>
      </c>
      <c r="K108" s="49">
        <v>147</v>
      </c>
      <c r="L108">
        <v>2</v>
      </c>
      <c r="M108" s="40">
        <v>300000</v>
      </c>
      <c r="O108" s="40"/>
      <c r="P108" s="39">
        <f t="shared" si="12"/>
        <v>100000000000000</v>
      </c>
      <c r="Q108" s="57">
        <f>12*1.73</f>
        <v>20.759999999999998</v>
      </c>
      <c r="R108" s="5">
        <v>4.0999999999999996</v>
      </c>
      <c r="S108" s="5">
        <v>3</v>
      </c>
      <c r="T108" s="129">
        <v>0.4</v>
      </c>
      <c r="U108" s="133">
        <f>(((Table5[[#This Row],[Watts Active]]*Power_On_Hours_Year/1000)*Active_Duty_Cycle)+((Table5[[#This Row],[Watts Idle]]*Power_On_Hours_Year/1000)*(100%-Active_Duty_Cycle)))*CostPerKWH</f>
        <v>3.5282184000000001</v>
      </c>
      <c r="V108" s="168">
        <f>Table5[Energy$year]/Table5[[#This Row],[SizTB]]</f>
        <v>1.1760728</v>
      </c>
      <c r="W108" s="166">
        <v>79.989999999999995</v>
      </c>
      <c r="X108" s="6">
        <f>Table5[[#This Row],[Cost]]/Table5[[#This Row],[SizTB]]*Exchange_Rate</f>
        <v>26.66333333333333</v>
      </c>
      <c r="Y108" s="172">
        <f>Table5[[#This Row],[Cost]]+((CompareWarrYrs-Table5[[#This Row],[S]])*(Incremental_Warr_Yr*Table5[[#This Row],[Cost]]))*Exchange_Rate</f>
        <v>106.38669999999999</v>
      </c>
      <c r="Z108" s="6">
        <f>Table5[[#This Row],[$+Warr]]/Table5[[#This Row],[SizTB]]</f>
        <v>35.46223333333333</v>
      </c>
      <c r="AA108" s="6">
        <f>Table5[[#This Row],[$PerTB]]/CompareWarrYrs</f>
        <v>7.0924466666666657</v>
      </c>
      <c r="AB108" s="186">
        <v>23</v>
      </c>
      <c r="AC108" s="187">
        <v>27</v>
      </c>
      <c r="AD108" s="44"/>
    </row>
    <row r="109" spans="1:30" x14ac:dyDescent="0.25">
      <c r="A109" s="1">
        <v>43080</v>
      </c>
      <c r="B109" t="s">
        <v>6</v>
      </c>
      <c r="C109" s="116" t="s">
        <v>28</v>
      </c>
      <c r="D109" s="128" t="s">
        <v>130</v>
      </c>
      <c r="E109" s="99">
        <v>3.5</v>
      </c>
      <c r="F109" s="85">
        <v>4</v>
      </c>
      <c r="G109" s="46">
        <v>5400</v>
      </c>
      <c r="H109" s="5"/>
      <c r="I109" s="5"/>
      <c r="J109" s="65">
        <f>(Table5[[#This Row],[RPM]]/5400-1)</f>
        <v>0</v>
      </c>
      <c r="K109" s="49">
        <v>150</v>
      </c>
      <c r="L109">
        <v>2</v>
      </c>
      <c r="M109" s="40">
        <v>300000</v>
      </c>
      <c r="O109" s="40"/>
      <c r="P109" s="39">
        <f t="shared" si="12"/>
        <v>100000000000000</v>
      </c>
      <c r="Q109" s="57">
        <f>12*1.75</f>
        <v>21</v>
      </c>
      <c r="R109" s="5">
        <v>5.3</v>
      </c>
      <c r="S109" s="5">
        <v>3.4</v>
      </c>
      <c r="T109" s="129">
        <v>0.4</v>
      </c>
      <c r="U109" s="133">
        <f>(((Table5[[#This Row],[Watts Active]]*Power_On_Hours_Year/1000)*Active_Duty_Cycle)+((Table5[[#This Row],[Watts Idle]]*Power_On_Hours_Year/1000)*(100%-Active_Duty_Cycle)))*CostPerKWH</f>
        <v>4.1418216000000001</v>
      </c>
      <c r="V109" s="168">
        <f>Table5[Energy$year]/Table5[[#This Row],[SizTB]]</f>
        <v>1.0354554</v>
      </c>
      <c r="W109" s="167">
        <v>109.99</v>
      </c>
      <c r="X109" s="6">
        <f>Table5[[#This Row],[Cost]]/Table5[[#This Row],[SizTB]]*Exchange_Rate</f>
        <v>27.497499999999999</v>
      </c>
      <c r="Y109" s="172">
        <f>Table5[[#This Row],[Cost]]+((CompareWarrYrs-Table5[[#This Row],[S]])*(Incremental_Warr_Yr*Table5[[#This Row],[Cost]]))*Exchange_Rate</f>
        <v>146.2867</v>
      </c>
      <c r="Z109" s="6">
        <f>Table5[[#This Row],[$+Warr]]/Table5[[#This Row],[SizTB]]</f>
        <v>36.571674999999999</v>
      </c>
      <c r="AA109" s="6">
        <f>Table5[[#This Row],[$PerTB]]/CompareWarrYrs</f>
        <v>7.3143349999999998</v>
      </c>
      <c r="AB109" s="186">
        <v>25</v>
      </c>
      <c r="AC109" s="187">
        <v>28</v>
      </c>
      <c r="AD109" s="44"/>
    </row>
    <row r="110" spans="1:30" x14ac:dyDescent="0.25">
      <c r="A110" s="1">
        <v>43019</v>
      </c>
      <c r="B110" t="s">
        <v>6</v>
      </c>
      <c r="C110" s="116" t="s">
        <v>28</v>
      </c>
      <c r="D110" s="128" t="s">
        <v>130</v>
      </c>
      <c r="E110" s="99">
        <v>3.5</v>
      </c>
      <c r="F110" s="85">
        <v>6</v>
      </c>
      <c r="G110" s="46">
        <v>5400</v>
      </c>
      <c r="H110" s="5"/>
      <c r="I110" s="5"/>
      <c r="J110" s="65">
        <f>(Table5[[#This Row],[RPM]]/5400-1)</f>
        <v>0</v>
      </c>
      <c r="K110" s="49">
        <v>175</v>
      </c>
      <c r="L110">
        <v>2</v>
      </c>
      <c r="M110" s="40">
        <v>300000</v>
      </c>
      <c r="O110" s="40"/>
      <c r="P110" s="39">
        <f t="shared" si="12"/>
        <v>100000000000000</v>
      </c>
      <c r="Q110" s="57">
        <f>12*1.75</f>
        <v>21</v>
      </c>
      <c r="R110" s="5">
        <v>5.3</v>
      </c>
      <c r="S110" s="5">
        <v>3.4</v>
      </c>
      <c r="T110" s="129">
        <v>0.4</v>
      </c>
      <c r="U110" s="133">
        <f>(((Table5[[#This Row],[Watts Active]]*Power_On_Hours_Year/1000)*Active_Duty_Cycle)+((Table5[[#This Row],[Watts Idle]]*Power_On_Hours_Year/1000)*(100%-Active_Duty_Cycle)))*CostPerKWH</f>
        <v>4.1418216000000001</v>
      </c>
      <c r="V110" s="168">
        <f>Table5[Energy$year]/Table5[[#This Row],[SizTB]]</f>
        <v>0.69030360000000002</v>
      </c>
      <c r="W110" s="166">
        <v>196.99</v>
      </c>
      <c r="X110" s="6">
        <f>Table5[[#This Row],[Cost]]/Table5[[#This Row],[SizTB]]*Exchange_Rate</f>
        <v>32.831666666666671</v>
      </c>
      <c r="Y110" s="172">
        <f>Table5[[#This Row],[Cost]]+((CompareWarrYrs-Table5[[#This Row],[S]])*(Incremental_Warr_Yr*Table5[[#This Row],[Cost]]))*Exchange_Rate</f>
        <v>261.99670000000003</v>
      </c>
      <c r="Z110" s="6">
        <f>Table5[[#This Row],[$+Warr]]/Table5[[#This Row],[SizTB]]</f>
        <v>43.666116666666674</v>
      </c>
      <c r="AA110" s="6">
        <f>Table5[[#This Row],[$PerTB]]/CompareWarrYrs</f>
        <v>8.7332233333333349</v>
      </c>
      <c r="AB110" s="186">
        <v>25</v>
      </c>
      <c r="AC110" s="187">
        <v>28</v>
      </c>
      <c r="AD110" s="44"/>
    </row>
    <row r="111" spans="1:30" x14ac:dyDescent="0.25">
      <c r="A111" s="1">
        <v>43080</v>
      </c>
      <c r="B111" t="s">
        <v>6</v>
      </c>
      <c r="C111" s="116" t="s">
        <v>28</v>
      </c>
      <c r="D111" s="128" t="s">
        <v>129</v>
      </c>
      <c r="E111" s="99">
        <v>2.5</v>
      </c>
      <c r="F111" s="85">
        <v>1</v>
      </c>
      <c r="G111" s="46">
        <v>5400</v>
      </c>
      <c r="H111" s="5"/>
      <c r="I111" s="5"/>
      <c r="J111" s="65">
        <f>(Table5[[#This Row],[RPM]]/5400-1)</f>
        <v>0</v>
      </c>
      <c r="K111" s="49"/>
      <c r="L111">
        <v>2</v>
      </c>
      <c r="M111" s="40">
        <v>600000</v>
      </c>
      <c r="O111" s="40"/>
      <c r="P111" s="39">
        <f t="shared" si="12"/>
        <v>100000000000000</v>
      </c>
      <c r="Q111" s="57">
        <v>5</v>
      </c>
      <c r="R111" s="5">
        <v>1.5</v>
      </c>
      <c r="S111" s="5">
        <v>0.5</v>
      </c>
      <c r="T111" s="129">
        <v>0.1</v>
      </c>
      <c r="U111" s="133">
        <f>(((Table5[[#This Row],[Watts Active]]*Power_On_Hours_Year/1000)*Active_Duty_Cycle)+((Table5[[#This Row],[Watts Idle]]*Power_On_Hours_Year/1000)*(100%-Active_Duty_Cycle)))*CostPerKWH</f>
        <v>0.76700400000000002</v>
      </c>
      <c r="V111" s="168">
        <f>Table5[Energy$year]/Table5[[#This Row],[SizTB]]</f>
        <v>0.76700400000000002</v>
      </c>
      <c r="W111" s="167">
        <v>47.99</v>
      </c>
      <c r="X111" s="6">
        <f>Table5[[#This Row],[Cost]]/Table5[[#This Row],[SizTB]]*Exchange_Rate</f>
        <v>47.99</v>
      </c>
      <c r="Y111" s="172">
        <f>Table5[[#This Row],[Cost]]+((CompareWarrYrs-Table5[[#This Row],[S]])*(Incremental_Warr_Yr*Table5[[#This Row],[Cost]]))*Exchange_Rate</f>
        <v>63.826700000000002</v>
      </c>
      <c r="Z111" s="6">
        <f>Table5[[#This Row],[$+Warr]]/Table5[[#This Row],[SizTB]]</f>
        <v>63.826700000000002</v>
      </c>
      <c r="AA111" s="6">
        <f>Table5[[#This Row],[$PerTB]]/CompareWarrYrs</f>
        <v>12.76534</v>
      </c>
      <c r="AB111" s="186"/>
      <c r="AC111" s="187"/>
      <c r="AD111" s="44"/>
    </row>
    <row r="112" spans="1:30" x14ac:dyDescent="0.25">
      <c r="A112" s="1">
        <v>43053</v>
      </c>
      <c r="B112" t="s">
        <v>6</v>
      </c>
      <c r="C112" s="116" t="s">
        <v>28</v>
      </c>
      <c r="D112" s="128" t="s">
        <v>129</v>
      </c>
      <c r="E112" s="99">
        <v>2.5</v>
      </c>
      <c r="F112" s="85">
        <v>2</v>
      </c>
      <c r="G112" s="46">
        <v>5400</v>
      </c>
      <c r="H112" s="5"/>
      <c r="I112" s="5"/>
      <c r="J112" s="65">
        <f>(Table5[[#This Row],[RPM]]/5400-1)</f>
        <v>0</v>
      </c>
      <c r="K112" s="49"/>
      <c r="L112">
        <v>2</v>
      </c>
      <c r="M112" s="40">
        <v>600000</v>
      </c>
      <c r="O112" s="40"/>
      <c r="P112" s="39">
        <f t="shared" si="12"/>
        <v>100000000000000</v>
      </c>
      <c r="Q112" s="57">
        <v>5</v>
      </c>
      <c r="R112" s="5">
        <v>1.7</v>
      </c>
      <c r="S112" s="5">
        <v>0.8</v>
      </c>
      <c r="T112" s="129">
        <v>0.2</v>
      </c>
      <c r="U112" s="133">
        <f>(((Table5[[#This Row],[Watts Active]]*Power_On_Hours_Year/1000)*Active_Duty_Cycle)+((Table5[[#This Row],[Watts Idle]]*Power_On_Hours_Year/1000)*(100%-Active_Duty_Cycle)))*CostPerKWH</f>
        <v>1.0738056</v>
      </c>
      <c r="V112" s="168">
        <f>Table5[Energy$year]/Table5[[#This Row],[SizTB]]</f>
        <v>0.53690280000000001</v>
      </c>
      <c r="W112" s="167">
        <v>141.82</v>
      </c>
      <c r="X112" s="6">
        <f>Table5[[#This Row],[Cost]]/Table5[[#This Row],[SizTB]]*Exchange_Rate</f>
        <v>70.91</v>
      </c>
      <c r="Y112" s="172">
        <f>Table5[[#This Row],[Cost]]+((CompareWarrYrs-Table5[[#This Row],[S]])*(Incremental_Warr_Yr*Table5[[#This Row],[Cost]]))*Exchange_Rate</f>
        <v>188.6206</v>
      </c>
      <c r="Z112" s="6">
        <f>Table5[[#This Row],[$+Warr]]/Table5[[#This Row],[SizTB]]</f>
        <v>94.310299999999998</v>
      </c>
      <c r="AA112" s="6">
        <f>Table5[[#This Row],[$PerTB]]/CompareWarrYrs</f>
        <v>18.86206</v>
      </c>
      <c r="AB112" s="186"/>
      <c r="AC112" s="187"/>
      <c r="AD112" s="44"/>
    </row>
    <row r="113" spans="1:30" x14ac:dyDescent="0.25">
      <c r="A113" s="1">
        <v>43083</v>
      </c>
      <c r="B113" t="s">
        <v>6</v>
      </c>
      <c r="C113" s="116" t="s">
        <v>58</v>
      </c>
      <c r="D113" s="31" t="s">
        <v>50</v>
      </c>
      <c r="E113" s="99">
        <v>3.5</v>
      </c>
      <c r="F113" s="85">
        <v>1</v>
      </c>
      <c r="G113" s="46">
        <v>7200</v>
      </c>
      <c r="H113" s="5"/>
      <c r="I113" s="5"/>
      <c r="J113" s="65">
        <f>(Table5[[#This Row],[RPM]]/5400-1)</f>
        <v>0.33333333333333326</v>
      </c>
      <c r="K113" s="49">
        <v>184</v>
      </c>
      <c r="L113">
        <v>5</v>
      </c>
      <c r="M113" s="40">
        <v>600000</v>
      </c>
      <c r="N113">
        <v>550</v>
      </c>
      <c r="O113" s="40">
        <v>2000000</v>
      </c>
      <c r="P113" s="39">
        <v>1000000000000000</v>
      </c>
      <c r="Q113" s="57"/>
      <c r="R113" s="5">
        <v>8.1</v>
      </c>
      <c r="S113" s="5">
        <v>5.9</v>
      </c>
      <c r="T113" s="129"/>
      <c r="U113" s="133">
        <f>(((Table5[[#This Row],[Watts Active]]*Power_On_Hours_Year/1000)*Active_Duty_Cycle)+((Table5[[#This Row],[Watts Idle]]*Power_On_Hours_Year/1000)*(100%-Active_Duty_Cycle)))*CostPerKWH</f>
        <v>6.9468648000000002</v>
      </c>
      <c r="V113" s="168">
        <f>Table5[Energy$year]/Table5[[#This Row],[SizTB]]</f>
        <v>6.9468648000000002</v>
      </c>
      <c r="W113" s="167">
        <v>83.76</v>
      </c>
      <c r="X113" s="6">
        <f>Table5[[#This Row],[Cost]]/Table5[[#This Row],[SizTB]]*Exchange_Rate</f>
        <v>83.76</v>
      </c>
      <c r="Y113" s="172">
        <f>Table5[[#This Row],[Cost]]+((CompareWarrYrs-Table5[[#This Row],[S]])*(Incremental_Warr_Yr*Table5[[#This Row],[Cost]]))*Exchange_Rate</f>
        <v>83.76</v>
      </c>
      <c r="Z113" s="6">
        <f>Table5[[#This Row],[$+Warr]]/Table5[[#This Row],[SizTB]]</f>
        <v>83.76</v>
      </c>
      <c r="AA113" s="6">
        <f>Table5[[#This Row],[$PerTB]]/CompareWarrYrs</f>
        <v>16.752000000000002</v>
      </c>
      <c r="AB113" s="186">
        <v>25</v>
      </c>
      <c r="AC113" s="187">
        <v>28</v>
      </c>
      <c r="AD113" s="44"/>
    </row>
    <row r="114" spans="1:30" x14ac:dyDescent="0.25">
      <c r="A114" s="1">
        <v>43083</v>
      </c>
      <c r="B114" t="s">
        <v>6</v>
      </c>
      <c r="C114" s="116" t="s">
        <v>58</v>
      </c>
      <c r="D114" s="31" t="s">
        <v>50</v>
      </c>
      <c r="E114" s="99">
        <v>3.5</v>
      </c>
      <c r="F114" s="85">
        <v>2</v>
      </c>
      <c r="G114" s="46">
        <v>7200</v>
      </c>
      <c r="H114" s="5"/>
      <c r="I114" s="5"/>
      <c r="J114" s="65">
        <f>(Table5[[#This Row],[RPM]]/5400-1)</f>
        <v>0.33333333333333326</v>
      </c>
      <c r="K114" s="49">
        <v>200</v>
      </c>
      <c r="L114">
        <v>5</v>
      </c>
      <c r="M114" s="40">
        <v>600000</v>
      </c>
      <c r="N114">
        <v>550</v>
      </c>
      <c r="O114" s="40">
        <v>2000000</v>
      </c>
      <c r="P114" s="39">
        <v>1000000000000000</v>
      </c>
      <c r="Q114" s="57"/>
      <c r="R114" s="5">
        <v>8.1</v>
      </c>
      <c r="S114" s="5">
        <v>5.9</v>
      </c>
      <c r="T114" s="129"/>
      <c r="U114" s="133">
        <f>(((Table5[[#This Row],[Watts Active]]*Power_On_Hours_Year/1000)*Active_Duty_Cycle)+((Table5[[#This Row],[Watts Idle]]*Power_On_Hours_Year/1000)*(100%-Active_Duty_Cycle)))*CostPerKWH</f>
        <v>6.9468648000000002</v>
      </c>
      <c r="V114" s="168">
        <f>Table5[Energy$year]/Table5[[#This Row],[SizTB]]</f>
        <v>3.4734324000000001</v>
      </c>
      <c r="W114" s="167">
        <v>119.99</v>
      </c>
      <c r="X114" s="6">
        <f>Table5[[#This Row],[Cost]]/Table5[[#This Row],[SizTB]]*Exchange_Rate</f>
        <v>59.994999999999997</v>
      </c>
      <c r="Y114" s="172">
        <f>Table5[[#This Row],[Cost]]+((CompareWarrYrs-Table5[[#This Row],[S]])*(Incremental_Warr_Yr*Table5[[#This Row],[Cost]]))*Exchange_Rate</f>
        <v>119.99</v>
      </c>
      <c r="Z114" s="6">
        <f>Table5[[#This Row],[$+Warr]]/Table5[[#This Row],[SizTB]]</f>
        <v>59.994999999999997</v>
      </c>
      <c r="AA114" s="6">
        <f>Table5[[#This Row],[$PerTB]]/CompareWarrYrs</f>
        <v>11.998999999999999</v>
      </c>
      <c r="AB114" s="186">
        <v>25</v>
      </c>
      <c r="AC114" s="187">
        <v>28</v>
      </c>
      <c r="AD114" s="44"/>
    </row>
    <row r="115" spans="1:30" x14ac:dyDescent="0.25">
      <c r="A115" s="1">
        <v>43083</v>
      </c>
      <c r="B115" t="s">
        <v>6</v>
      </c>
      <c r="C115" s="116" t="s">
        <v>58</v>
      </c>
      <c r="D115" s="31" t="s">
        <v>50</v>
      </c>
      <c r="E115" s="99">
        <v>3.5</v>
      </c>
      <c r="F115" s="85">
        <v>4</v>
      </c>
      <c r="G115" s="46">
        <v>7200</v>
      </c>
      <c r="H115" s="5"/>
      <c r="I115" s="5"/>
      <c r="J115" s="65">
        <f>(Table5[[#This Row],[RPM]]/5400-1)</f>
        <v>0.33333333333333326</v>
      </c>
      <c r="K115" s="49">
        <v>201</v>
      </c>
      <c r="L115">
        <v>5</v>
      </c>
      <c r="M115" s="40">
        <v>600000</v>
      </c>
      <c r="N115">
        <v>550</v>
      </c>
      <c r="O115" s="40">
        <v>2000000</v>
      </c>
      <c r="P115" s="39">
        <v>1000000000000000</v>
      </c>
      <c r="Q115" s="57"/>
      <c r="R115" s="5">
        <v>9</v>
      </c>
      <c r="S115" s="5">
        <v>7</v>
      </c>
      <c r="T115" s="129"/>
      <c r="U115" s="133">
        <f>(((Table5[[#This Row],[Watts Active]]*Power_On_Hours_Year/1000)*Active_Duty_Cycle)+((Table5[[#This Row],[Watts Idle]]*Power_On_Hours_Year/1000)*(100%-Active_Duty_Cycle)))*CostPerKWH</f>
        <v>8.1083280000000002</v>
      </c>
      <c r="V115" s="168">
        <f>Table5[Energy$year]/Table5[[#This Row],[SizTB]]</f>
        <v>2.0270820000000001</v>
      </c>
      <c r="W115" s="167">
        <v>165.99</v>
      </c>
      <c r="X115" s="6">
        <f>Table5[[#This Row],[Cost]]/Table5[[#This Row],[SizTB]]*Exchange_Rate</f>
        <v>41.497500000000002</v>
      </c>
      <c r="Y115" s="172">
        <f>Table5[[#This Row],[Cost]]+((CompareWarrYrs-Table5[[#This Row],[S]])*(Incremental_Warr_Yr*Table5[[#This Row],[Cost]]))*Exchange_Rate</f>
        <v>165.99</v>
      </c>
      <c r="Z115" s="6">
        <f>Table5[[#This Row],[$+Warr]]/Table5[[#This Row],[SizTB]]</f>
        <v>41.497500000000002</v>
      </c>
      <c r="AA115" s="6">
        <f>Table5[[#This Row],[$PerTB]]/CompareWarrYrs</f>
        <v>8.2995000000000001</v>
      </c>
      <c r="AB115" s="186">
        <v>29</v>
      </c>
      <c r="AC115" s="187">
        <v>36</v>
      </c>
      <c r="AD115" s="123"/>
    </row>
    <row r="116" spans="1:30" x14ac:dyDescent="0.25">
      <c r="A116" s="1">
        <v>43055</v>
      </c>
      <c r="B116" t="s">
        <v>6</v>
      </c>
      <c r="C116" s="116" t="s">
        <v>58</v>
      </c>
      <c r="D116" s="31" t="s">
        <v>50</v>
      </c>
      <c r="E116" s="99">
        <v>3.5</v>
      </c>
      <c r="F116" s="85">
        <v>6</v>
      </c>
      <c r="G116" s="46">
        <v>7200</v>
      </c>
      <c r="H116" s="5"/>
      <c r="I116" s="5"/>
      <c r="J116" s="65">
        <f>(Table5[[#This Row],[RPM]]/5400-1)</f>
        <v>0.33333333333333326</v>
      </c>
      <c r="K116" s="49">
        <v>226</v>
      </c>
      <c r="L116">
        <v>5</v>
      </c>
      <c r="M116" s="40">
        <v>600000</v>
      </c>
      <c r="N116">
        <v>550</v>
      </c>
      <c r="O116" s="40">
        <v>2000000</v>
      </c>
      <c r="P116" s="39">
        <v>1000000000000000</v>
      </c>
      <c r="Q116" s="57"/>
      <c r="R116" s="5">
        <v>9.3000000000000007</v>
      </c>
      <c r="S116" s="5">
        <v>7.1</v>
      </c>
      <c r="T116" s="129"/>
      <c r="U116" s="133">
        <f>(((Table5[[#This Row],[Watts Active]]*Power_On_Hours_Year/1000)*Active_Duty_Cycle)+((Table5[[#This Row],[Watts Idle]]*Power_On_Hours_Year/1000)*(100%-Active_Duty_Cycle)))*CostPerKWH</f>
        <v>8.2617288000000002</v>
      </c>
      <c r="V116" s="168">
        <f>Table5[Energy$year]/Table5[[#This Row],[SizTB]]</f>
        <v>1.3769548</v>
      </c>
      <c r="W116" s="167">
        <v>229.99</v>
      </c>
      <c r="X116" s="6">
        <f>Table5[[#This Row],[Cost]]/Table5[[#This Row],[SizTB]]*Exchange_Rate</f>
        <v>38.331666666666671</v>
      </c>
      <c r="Y116" s="172">
        <f>Table5[[#This Row],[Cost]]+((CompareWarrYrs-Table5[[#This Row],[S]])*(Incremental_Warr_Yr*Table5[[#This Row],[Cost]]))*Exchange_Rate</f>
        <v>229.99</v>
      </c>
      <c r="Z116" s="6">
        <f>Table5[[#This Row],[$+Warr]]/Table5[[#This Row],[SizTB]]</f>
        <v>38.331666666666671</v>
      </c>
      <c r="AA116" s="6">
        <f>Table5[[#This Row],[$PerTB]]/CompareWarrYrs</f>
        <v>7.6663333333333341</v>
      </c>
      <c r="AB116" s="186">
        <v>29</v>
      </c>
      <c r="AC116" s="187">
        <v>36</v>
      </c>
      <c r="AD116" s="123" t="s">
        <v>119</v>
      </c>
    </row>
    <row r="117" spans="1:30" x14ac:dyDescent="0.25">
      <c r="A117" s="1">
        <v>43083</v>
      </c>
      <c r="B117" t="s">
        <v>6</v>
      </c>
      <c r="C117" s="116" t="s">
        <v>58</v>
      </c>
      <c r="D117" s="31" t="s">
        <v>50</v>
      </c>
      <c r="E117" s="99">
        <v>3.5</v>
      </c>
      <c r="F117" s="85">
        <v>8</v>
      </c>
      <c r="G117" s="46">
        <v>7200</v>
      </c>
      <c r="H117" s="5"/>
      <c r="I117" s="5"/>
      <c r="J117" s="65">
        <f>(Table5[[#This Row],[RPM]]/5400-1)</f>
        <v>0.33333333333333326</v>
      </c>
      <c r="K117" s="49">
        <v>205</v>
      </c>
      <c r="L117">
        <v>5</v>
      </c>
      <c r="M117" s="40">
        <v>600000</v>
      </c>
      <c r="N117">
        <v>550</v>
      </c>
      <c r="O117" s="40">
        <v>2500000</v>
      </c>
      <c r="P117" s="39">
        <v>1000000000000000</v>
      </c>
      <c r="Q117" s="57"/>
      <c r="R117" s="5">
        <v>7.2</v>
      </c>
      <c r="S117" s="5">
        <v>5.0999999999999996</v>
      </c>
      <c r="T117" s="129"/>
      <c r="U117" s="133">
        <f>(((Table5[[#This Row],[Watts Active]]*Power_On_Hours_Year/1000)*Active_Duty_Cycle)+((Table5[[#This Row],[Watts Idle]]*Power_On_Hours_Year/1000)*(100%-Active_Duty_Cycle)))*CostPerKWH</f>
        <v>6.0483743999999993</v>
      </c>
      <c r="V117" s="168">
        <f>Table5[Energy$year]/Table5[[#This Row],[SizTB]]</f>
        <v>0.75604679999999991</v>
      </c>
      <c r="W117" s="167">
        <v>289.99</v>
      </c>
      <c r="X117" s="6">
        <f>Table5[[#This Row],[Cost]]/Table5[[#This Row],[SizTB]]*Exchange_Rate</f>
        <v>36.248750000000001</v>
      </c>
      <c r="Y117" s="172">
        <f>Table5[[#This Row],[Cost]]+((CompareWarrYrs-Table5[[#This Row],[S]])*(Incremental_Warr_Yr*Table5[[#This Row],[Cost]]))*Exchange_Rate</f>
        <v>289.99</v>
      </c>
      <c r="Z117" s="6">
        <f>Table5[[#This Row],[$+Warr]]/Table5[[#This Row],[SizTB]]</f>
        <v>36.248750000000001</v>
      </c>
      <c r="AA117" s="6">
        <f>Table5[[#This Row],[$PerTB]]/CompareWarrYrs</f>
        <v>7.2497500000000006</v>
      </c>
      <c r="AB117" s="186">
        <v>20</v>
      </c>
      <c r="AC117" s="187">
        <v>36</v>
      </c>
      <c r="AD117" s="123" t="s">
        <v>38</v>
      </c>
    </row>
    <row r="118" spans="1:30" x14ac:dyDescent="0.25">
      <c r="A118" s="1">
        <v>43080</v>
      </c>
      <c r="B118" t="s">
        <v>6</v>
      </c>
      <c r="C118" s="116" t="s">
        <v>58</v>
      </c>
      <c r="D118" s="31" t="s">
        <v>50</v>
      </c>
      <c r="E118" s="99">
        <v>3.5</v>
      </c>
      <c r="F118" s="85">
        <v>10</v>
      </c>
      <c r="G118" s="46">
        <v>7200</v>
      </c>
      <c r="H118" s="5"/>
      <c r="I118" s="5"/>
      <c r="J118" s="65">
        <f>(Table5[[#This Row],[RPM]]/5400-1)</f>
        <v>0.33333333333333326</v>
      </c>
      <c r="K118" s="49">
        <v>249</v>
      </c>
      <c r="L118">
        <v>5</v>
      </c>
      <c r="M118" s="40">
        <v>600000</v>
      </c>
      <c r="N118">
        <v>550</v>
      </c>
      <c r="O118" s="40">
        <v>2500000</v>
      </c>
      <c r="P118" s="39">
        <v>1000000000000000</v>
      </c>
      <c r="Q118" s="57"/>
      <c r="R118" s="5">
        <v>7.1</v>
      </c>
      <c r="S118" s="5">
        <v>5</v>
      </c>
      <c r="T118" s="129"/>
      <c r="U118" s="133">
        <f>(((Table5[[#This Row],[Watts Active]]*Power_On_Hours_Year/1000)*Active_Duty_Cycle)+((Table5[[#This Row],[Watts Idle]]*Power_On_Hours_Year/1000)*(100%-Active_Duty_Cycle)))*CostPerKWH</f>
        <v>5.9388024000000001</v>
      </c>
      <c r="V118" s="168">
        <f>Table5[Energy$year]/Table5[[#This Row],[SizTB]]</f>
        <v>0.59388024000000006</v>
      </c>
      <c r="W118" s="167">
        <v>339.99</v>
      </c>
      <c r="X118" s="6">
        <f>Table5[[#This Row],[Cost]]/Table5[[#This Row],[SizTB]]*Exchange_Rate</f>
        <v>33.999000000000002</v>
      </c>
      <c r="Y118" s="172">
        <f>Table5[[#This Row],[Cost]]+((CompareWarrYrs-Table5[[#This Row],[S]])*(Incremental_Warr_Yr*Table5[[#This Row],[Cost]]))*Exchange_Rate</f>
        <v>339.99</v>
      </c>
      <c r="Z118" s="6">
        <f>Table5[[#This Row],[$+Warr]]/Table5[[#This Row],[SizTB]]</f>
        <v>33.999000000000002</v>
      </c>
      <c r="AA118" s="6">
        <f>Table5[[#This Row],[$PerTB]]/CompareWarrYrs</f>
        <v>6.7998000000000003</v>
      </c>
      <c r="AB118" s="186">
        <v>20</v>
      </c>
      <c r="AC118" s="187">
        <v>36</v>
      </c>
      <c r="AD118" s="123" t="s">
        <v>38</v>
      </c>
    </row>
    <row r="119" spans="1:30" x14ac:dyDescent="0.25">
      <c r="A119" s="1">
        <v>43080</v>
      </c>
      <c r="B119" t="s">
        <v>6</v>
      </c>
      <c r="C119" s="116" t="s">
        <v>58</v>
      </c>
      <c r="D119" s="31" t="s">
        <v>50</v>
      </c>
      <c r="E119" s="99">
        <v>3.5</v>
      </c>
      <c r="F119" s="85">
        <v>12</v>
      </c>
      <c r="G119" s="46">
        <v>7200</v>
      </c>
      <c r="H119" s="5">
        <v>4.16</v>
      </c>
      <c r="I119" s="5"/>
      <c r="J119" s="65">
        <f>(Table5[[#This Row],[RPM]]/5400-1)</f>
        <v>0.33333333333333326</v>
      </c>
      <c r="K119" s="49">
        <v>255</v>
      </c>
      <c r="L119">
        <v>5</v>
      </c>
      <c r="M119" s="40">
        <v>600000</v>
      </c>
      <c r="N119">
        <v>550</v>
      </c>
      <c r="O119" s="40">
        <v>2500000</v>
      </c>
      <c r="P119" s="39">
        <v>1000000000000000</v>
      </c>
      <c r="Q119" s="57"/>
      <c r="R119" s="5">
        <v>7</v>
      </c>
      <c r="S119" s="5">
        <v>5</v>
      </c>
      <c r="T119" s="129"/>
      <c r="U119" s="133">
        <f>(((Table5[[#This Row],[Watts Active]]*Power_On_Hours_Year/1000)*Active_Duty_Cycle)+((Table5[[#This Row],[Watts Idle]]*Power_On_Hours_Year/1000)*(100%-Active_Duty_Cycle)))*CostPerKWH</f>
        <v>5.9168880000000001</v>
      </c>
      <c r="V119" s="168">
        <f>Table5[Energy$year]/Table5[[#This Row],[SizTB]]</f>
        <v>0.49307400000000001</v>
      </c>
      <c r="W119" s="167">
        <v>419.99</v>
      </c>
      <c r="X119" s="6">
        <f>Table5[[#This Row],[Cost]]/Table5[[#This Row],[SizTB]]*Exchange_Rate</f>
        <v>34.999166666666667</v>
      </c>
      <c r="Y119" s="172">
        <f>Table5[[#This Row],[Cost]]+((CompareWarrYrs-Table5[[#This Row],[S]])*(Incremental_Warr_Yr*Table5[[#This Row],[Cost]]))*Exchange_Rate</f>
        <v>419.99</v>
      </c>
      <c r="Z119" s="6">
        <f>Table5[[#This Row],[$+Warr]]/Table5[[#This Row],[SizTB]]</f>
        <v>34.999166666666667</v>
      </c>
      <c r="AA119" s="6">
        <f>Table5[[#This Row],[$PerTB]]/CompareWarrYrs</f>
        <v>6.9998333333333331</v>
      </c>
      <c r="AB119" s="186">
        <v>20</v>
      </c>
      <c r="AC119" s="187">
        <v>36</v>
      </c>
      <c r="AD119" s="123" t="s">
        <v>38</v>
      </c>
    </row>
    <row r="120" spans="1:30" x14ac:dyDescent="0.25">
      <c r="A120" s="1">
        <v>43053</v>
      </c>
      <c r="B120" t="s">
        <v>6</v>
      </c>
      <c r="C120" s="116" t="s">
        <v>56</v>
      </c>
      <c r="D120" s="122" t="s">
        <v>50</v>
      </c>
      <c r="E120" s="99">
        <v>2.5</v>
      </c>
      <c r="F120" s="85">
        <v>0.75</v>
      </c>
      <c r="G120" s="46">
        <v>5400</v>
      </c>
      <c r="H120" s="5"/>
      <c r="I120" s="5"/>
      <c r="J120" s="65">
        <f>(Table5[[#This Row],[RPM]]/5400-1)</f>
        <v>0</v>
      </c>
      <c r="K120" s="49">
        <v>144</v>
      </c>
      <c r="L120">
        <v>3</v>
      </c>
      <c r="M120" s="40">
        <v>600000</v>
      </c>
      <c r="N120">
        <v>180</v>
      </c>
      <c r="O120" s="40">
        <v>1000000</v>
      </c>
      <c r="P120" s="39">
        <f t="shared" ref="P120:P121" si="13">10^14</f>
        <v>100000000000000</v>
      </c>
      <c r="Q120" s="57">
        <v>5</v>
      </c>
      <c r="R120" s="5">
        <v>1.4</v>
      </c>
      <c r="S120" s="5">
        <v>0.6</v>
      </c>
      <c r="T120" s="129">
        <v>0.2</v>
      </c>
      <c r="U120" s="133">
        <f>(((Table5[[#This Row],[Watts Active]]*Power_On_Hours_Year/1000)*Active_Duty_Cycle)+((Table5[[#This Row],[Watts Idle]]*Power_On_Hours_Year/1000)*(100%-Active_Duty_Cycle)))*CostPerKWH</f>
        <v>0.83274720000000002</v>
      </c>
      <c r="V120" s="168">
        <f>Table5[Energy$year]/Table5[[#This Row],[SizTB]]</f>
        <v>1.1103296</v>
      </c>
      <c r="W120" s="167">
        <v>63.97</v>
      </c>
      <c r="X120" s="6">
        <f>Table5[[#This Row],[Cost]]/Table5[[#This Row],[SizTB]]*Exchange_Rate</f>
        <v>85.293333333333337</v>
      </c>
      <c r="Y120" s="172">
        <f>Table5[[#This Row],[Cost]]+((CompareWarrYrs-Table5[[#This Row],[S]])*(Incremental_Warr_Yr*Table5[[#This Row],[Cost]]))*Exchange_Rate</f>
        <v>78.043399999999991</v>
      </c>
      <c r="Z120" s="6">
        <f>Table5[[#This Row],[$+Warr]]/Table5[[#This Row],[SizTB]]</f>
        <v>104.05786666666665</v>
      </c>
      <c r="AA120" s="6">
        <f>Table5[[#This Row],[$PerTB]]/CompareWarrYrs</f>
        <v>20.811573333333332</v>
      </c>
      <c r="AB120" s="186"/>
      <c r="AC120" s="187"/>
      <c r="AD120" s="44"/>
    </row>
    <row r="121" spans="1:30" x14ac:dyDescent="0.25">
      <c r="A121" s="1">
        <v>43053</v>
      </c>
      <c r="B121" t="s">
        <v>6</v>
      </c>
      <c r="C121" s="116" t="s">
        <v>56</v>
      </c>
      <c r="D121" s="122" t="s">
        <v>50</v>
      </c>
      <c r="E121" s="99">
        <v>2.5</v>
      </c>
      <c r="F121" s="85">
        <v>1</v>
      </c>
      <c r="G121" s="46">
        <v>5400</v>
      </c>
      <c r="H121" s="5"/>
      <c r="I121" s="5"/>
      <c r="J121" s="65">
        <f>(Table5[[#This Row],[RPM]]/5400-1)</f>
        <v>0</v>
      </c>
      <c r="K121" s="49">
        <v>144</v>
      </c>
      <c r="L121">
        <v>3</v>
      </c>
      <c r="M121" s="40">
        <v>600000</v>
      </c>
      <c r="N121">
        <v>180</v>
      </c>
      <c r="O121" s="40">
        <v>1000000</v>
      </c>
      <c r="P121" s="39">
        <f t="shared" si="13"/>
        <v>100000000000000</v>
      </c>
      <c r="Q121" s="57">
        <v>5</v>
      </c>
      <c r="R121" s="5">
        <v>1.4</v>
      </c>
      <c r="S121" s="5">
        <v>0.6</v>
      </c>
      <c r="T121" s="129">
        <v>0.2</v>
      </c>
      <c r="U121" s="133">
        <f>(((Table5[[#This Row],[Watts Active]]*Power_On_Hours_Year/1000)*Active_Duty_Cycle)+((Table5[[#This Row],[Watts Idle]]*Power_On_Hours_Year/1000)*(100%-Active_Duty_Cycle)))*CostPerKWH</f>
        <v>0.83274720000000002</v>
      </c>
      <c r="V121" s="168">
        <f>Table5[Energy$year]/Table5[[#This Row],[SizTB]]</f>
        <v>0.83274720000000002</v>
      </c>
      <c r="W121" s="167">
        <v>79.55</v>
      </c>
      <c r="X121" s="6">
        <f>Table5[[#This Row],[Cost]]/Table5[[#This Row],[SizTB]]*Exchange_Rate</f>
        <v>79.55</v>
      </c>
      <c r="Y121" s="172">
        <f>Table5[[#This Row],[Cost]]+((CompareWarrYrs-Table5[[#This Row],[S]])*(Incremental_Warr_Yr*Table5[[#This Row],[Cost]]))*Exchange_Rate</f>
        <v>97.051000000000002</v>
      </c>
      <c r="Z121" s="6">
        <f>Table5[[#This Row],[$+Warr]]/Table5[[#This Row],[SizTB]]</f>
        <v>97.051000000000002</v>
      </c>
      <c r="AA121" s="6">
        <f>Table5[[#This Row],[$PerTB]]/CompareWarrYrs</f>
        <v>19.4102</v>
      </c>
      <c r="AB121" s="186"/>
      <c r="AC121" s="187"/>
      <c r="AD121" s="44"/>
    </row>
    <row r="122" spans="1:30" x14ac:dyDescent="0.25">
      <c r="A122" s="1">
        <v>43083</v>
      </c>
      <c r="B122" t="s">
        <v>6</v>
      </c>
      <c r="C122" s="116" t="s">
        <v>56</v>
      </c>
      <c r="D122" s="31" t="s">
        <v>50</v>
      </c>
      <c r="E122" s="99">
        <v>3.5</v>
      </c>
      <c r="F122" s="85">
        <v>1</v>
      </c>
      <c r="G122" s="46">
        <v>5400</v>
      </c>
      <c r="H122" s="5"/>
      <c r="I122" s="5"/>
      <c r="J122" s="65">
        <f>(Table5[[#This Row],[RPM]]/5400-1)</f>
        <v>0</v>
      </c>
      <c r="K122" s="49">
        <v>150</v>
      </c>
      <c r="L122">
        <v>3</v>
      </c>
      <c r="M122" s="40">
        <v>600000</v>
      </c>
      <c r="N122">
        <v>180</v>
      </c>
      <c r="O122" s="40">
        <v>1000000</v>
      </c>
      <c r="P122" s="39">
        <f>10^14</f>
        <v>100000000000000</v>
      </c>
      <c r="Q122" s="57">
        <f>12*1.2</f>
        <v>14.399999999999999</v>
      </c>
      <c r="R122" s="5">
        <v>3.3</v>
      </c>
      <c r="S122" s="5">
        <v>2.2999999999999998</v>
      </c>
      <c r="T122" s="129">
        <v>0.4</v>
      </c>
      <c r="U122" s="133">
        <f>(((Table5[[#This Row],[Watts Active]]*Power_On_Hours_Year/1000)*Active_Duty_Cycle)+((Table5[[#This Row],[Watts Idle]]*Power_On_Hours_Year/1000)*(100%-Active_Duty_Cycle)))*CostPerKWH</f>
        <v>2.7393000000000001</v>
      </c>
      <c r="V122" s="168">
        <f>Table5[Energy$year]/Table5[[#This Row],[SizTB]]</f>
        <v>2.7393000000000001</v>
      </c>
      <c r="W122" s="167">
        <v>59.99</v>
      </c>
      <c r="X122" s="6">
        <f>Table5[[#This Row],[Cost]]/Table5[[#This Row],[SizTB]]*Exchange_Rate</f>
        <v>59.99</v>
      </c>
      <c r="Y122" s="172">
        <f>Table5[[#This Row],[Cost]]+((CompareWarrYrs-Table5[[#This Row],[S]])*(Incremental_Warr_Yr*Table5[[#This Row],[Cost]]))*Exchange_Rate</f>
        <v>73.18780000000001</v>
      </c>
      <c r="Z122" s="6">
        <f>Table5[[#This Row],[$+Warr]]/Table5[[#This Row],[SizTB]]</f>
        <v>73.18780000000001</v>
      </c>
      <c r="AA122" s="6">
        <f>Table5[[#This Row],[$PerTB]]/CompareWarrYrs</f>
        <v>14.637560000000002</v>
      </c>
      <c r="AB122" s="186">
        <v>21</v>
      </c>
      <c r="AC122" s="187">
        <v>22</v>
      </c>
      <c r="AD122" s="44"/>
    </row>
    <row r="123" spans="1:30" x14ac:dyDescent="0.25">
      <c r="A123" s="1">
        <v>43083</v>
      </c>
      <c r="B123" t="s">
        <v>6</v>
      </c>
      <c r="C123" s="116" t="s">
        <v>56</v>
      </c>
      <c r="D123" s="31" t="s">
        <v>50</v>
      </c>
      <c r="E123" s="99">
        <v>3.5</v>
      </c>
      <c r="F123" s="85">
        <v>2</v>
      </c>
      <c r="G123" s="46">
        <v>5400</v>
      </c>
      <c r="H123" s="5"/>
      <c r="I123" s="5"/>
      <c r="J123" s="65">
        <f>(Table5[[#This Row],[RPM]]/5400-1)</f>
        <v>0</v>
      </c>
      <c r="K123" s="49">
        <v>147</v>
      </c>
      <c r="L123">
        <v>3</v>
      </c>
      <c r="M123" s="40">
        <v>600000</v>
      </c>
      <c r="N123">
        <v>180</v>
      </c>
      <c r="O123" s="40">
        <v>1000000</v>
      </c>
      <c r="P123" s="39">
        <f t="shared" ref="P123:P129" si="14">10^14</f>
        <v>100000000000000</v>
      </c>
      <c r="Q123" s="57">
        <f>12*1.73</f>
        <v>20.759999999999998</v>
      </c>
      <c r="R123" s="5">
        <v>4.0999999999999996</v>
      </c>
      <c r="S123" s="5">
        <v>2.7</v>
      </c>
      <c r="T123" s="129">
        <v>0.4</v>
      </c>
      <c r="U123" s="133">
        <f>(((Table5[[#This Row],[Watts Active]]*Power_On_Hours_Year/1000)*Active_Duty_Cycle)+((Table5[[#This Row],[Watts Idle]]*Power_On_Hours_Year/1000)*(100%-Active_Duty_Cycle)))*CostPerKWH</f>
        <v>3.2652456000000005</v>
      </c>
      <c r="V123" s="168">
        <f>Table5[Energy$year]/Table5[[#This Row],[SizTB]]</f>
        <v>1.6326228000000003</v>
      </c>
      <c r="W123" s="167">
        <v>84.99</v>
      </c>
      <c r="X123" s="6">
        <f>Table5[[#This Row],[Cost]]/Table5[[#This Row],[SizTB]]*Exchange_Rate</f>
        <v>42.494999999999997</v>
      </c>
      <c r="Y123" s="172">
        <f>Table5[[#This Row],[Cost]]+((CompareWarrYrs-Table5[[#This Row],[S]])*(Incremental_Warr_Yr*Table5[[#This Row],[Cost]]))*Exchange_Rate</f>
        <v>103.6878</v>
      </c>
      <c r="Z123" s="6">
        <f>Table5[[#This Row],[$+Warr]]/Table5[[#This Row],[SizTB]]</f>
        <v>51.843899999999998</v>
      </c>
      <c r="AA123" s="6">
        <f>Table5[[#This Row],[$PerTB]]/CompareWarrYrs</f>
        <v>10.368779999999999</v>
      </c>
      <c r="AB123" s="186">
        <v>23</v>
      </c>
      <c r="AC123" s="187">
        <v>24</v>
      </c>
      <c r="AD123" s="44"/>
    </row>
    <row r="124" spans="1:30" x14ac:dyDescent="0.25">
      <c r="A124" s="1">
        <v>43088</v>
      </c>
      <c r="B124" t="s">
        <v>6</v>
      </c>
      <c r="C124" s="116" t="s">
        <v>56</v>
      </c>
      <c r="D124" s="31" t="s">
        <v>50</v>
      </c>
      <c r="E124" s="99">
        <v>3.5</v>
      </c>
      <c r="F124" s="85">
        <v>3</v>
      </c>
      <c r="G124" s="46">
        <v>5400</v>
      </c>
      <c r="H124" s="5"/>
      <c r="I124" s="5">
        <v>8.9</v>
      </c>
      <c r="J124" s="65">
        <f>(Table5[[#This Row],[RPM]]/5400-1)</f>
        <v>0</v>
      </c>
      <c r="K124" s="49">
        <v>147</v>
      </c>
      <c r="L124">
        <v>3</v>
      </c>
      <c r="M124" s="40">
        <v>600000</v>
      </c>
      <c r="N124">
        <v>180</v>
      </c>
      <c r="O124" s="40">
        <v>1000000</v>
      </c>
      <c r="P124" s="39">
        <f t="shared" si="14"/>
        <v>100000000000000</v>
      </c>
      <c r="Q124" s="57">
        <f>12*1.73</f>
        <v>20.759999999999998</v>
      </c>
      <c r="R124" s="5">
        <v>4.0999999999999996</v>
      </c>
      <c r="S124" s="5">
        <v>2.7</v>
      </c>
      <c r="T124" s="129">
        <v>0.4</v>
      </c>
      <c r="U124" s="133">
        <f>(((Table5[[#This Row],[Watts Active]]*Power_On_Hours_Year/1000)*Active_Duty_Cycle)+((Table5[[#This Row],[Watts Idle]]*Power_On_Hours_Year/1000)*(100%-Active_Duty_Cycle)))*CostPerKWH</f>
        <v>3.2652456000000005</v>
      </c>
      <c r="V124" s="168">
        <f>Table5[Energy$year]/Table5[[#This Row],[SizTB]]</f>
        <v>1.0884152000000002</v>
      </c>
      <c r="W124" s="167">
        <v>89.99</v>
      </c>
      <c r="X124" s="6">
        <f>Table5[[#This Row],[Cost]]/Table5[[#This Row],[SizTB]]*Exchange_Rate</f>
        <v>29.996666666666666</v>
      </c>
      <c r="Y124" s="172">
        <f>Table5[[#This Row],[Cost]]+((CompareWarrYrs-Table5[[#This Row],[S]])*(Incremental_Warr_Yr*Table5[[#This Row],[Cost]]))*Exchange_Rate</f>
        <v>109.78779999999999</v>
      </c>
      <c r="Z124" s="6">
        <f>Table5[[#This Row],[$+Warr]]/Table5[[#This Row],[SizTB]]</f>
        <v>36.595933333333328</v>
      </c>
      <c r="AA124" s="6">
        <f>Table5[[#This Row],[$PerTB]]/CompareWarrYrs</f>
        <v>7.3191866666666652</v>
      </c>
      <c r="AB124" s="186">
        <v>23</v>
      </c>
      <c r="AC124" s="187">
        <v>24</v>
      </c>
      <c r="AD124" s="44"/>
    </row>
    <row r="125" spans="1:30" x14ac:dyDescent="0.25">
      <c r="A125" s="1">
        <v>43094</v>
      </c>
      <c r="B125" t="s">
        <v>6</v>
      </c>
      <c r="C125" s="116" t="s">
        <v>56</v>
      </c>
      <c r="D125" s="31" t="s">
        <v>50</v>
      </c>
      <c r="E125" s="99">
        <v>3.5</v>
      </c>
      <c r="F125" s="85">
        <v>4</v>
      </c>
      <c r="G125" s="46">
        <v>5400</v>
      </c>
      <c r="H125" s="5"/>
      <c r="I125" s="5"/>
      <c r="J125" s="65">
        <f>(Table5[[#This Row],[RPM]]/5400-1)</f>
        <v>0</v>
      </c>
      <c r="K125" s="49">
        <v>150</v>
      </c>
      <c r="L125">
        <v>3</v>
      </c>
      <c r="M125" s="40">
        <v>600000</v>
      </c>
      <c r="N125">
        <v>180</v>
      </c>
      <c r="O125" s="40">
        <v>1000000</v>
      </c>
      <c r="P125" s="39">
        <f t="shared" si="14"/>
        <v>100000000000000</v>
      </c>
      <c r="Q125" s="57">
        <f>12*1.75</f>
        <v>21</v>
      </c>
      <c r="R125" s="5">
        <v>4.5</v>
      </c>
      <c r="S125" s="5">
        <v>3.3</v>
      </c>
      <c r="T125" s="129">
        <v>0.4</v>
      </c>
      <c r="U125" s="133">
        <f>(((Table5[[#This Row],[Watts Active]]*Power_On_Hours_Year/1000)*Active_Duty_Cycle)+((Table5[[#This Row],[Watts Idle]]*Power_On_Hours_Year/1000)*(100%-Active_Duty_Cycle)))*CostPerKWH</f>
        <v>3.8788488000000001</v>
      </c>
      <c r="V125" s="168">
        <f>Table5[Energy$year]/Table5[[#This Row],[SizTB]]</f>
        <v>0.96971220000000002</v>
      </c>
      <c r="W125" s="167">
        <v>124.99</v>
      </c>
      <c r="X125" s="6">
        <f>Table5[[#This Row],[Cost]]/Table5[[#This Row],[SizTB]]*Exchange_Rate</f>
        <v>31.247499999999999</v>
      </c>
      <c r="Y125" s="172">
        <f>Table5[[#This Row],[Cost]]+((CompareWarrYrs-Table5[[#This Row],[S]])*(Incremental_Warr_Yr*Table5[[#This Row],[Cost]]))*Exchange_Rate</f>
        <v>152.48779999999999</v>
      </c>
      <c r="Z125" s="6">
        <f>Table5[[#This Row],[$+Warr]]/Table5[[#This Row],[SizTB]]</f>
        <v>38.121949999999998</v>
      </c>
      <c r="AA125" s="6">
        <f>Table5[[#This Row],[$PerTB]]/CompareWarrYrs</f>
        <v>7.62439</v>
      </c>
      <c r="AB125" s="186">
        <v>25</v>
      </c>
      <c r="AC125" s="187">
        <v>28</v>
      </c>
      <c r="AD125" s="44"/>
    </row>
    <row r="126" spans="1:30" x14ac:dyDescent="0.25">
      <c r="A126" s="1">
        <v>43008</v>
      </c>
      <c r="B126" t="s">
        <v>6</v>
      </c>
      <c r="C126" s="116" t="s">
        <v>56</v>
      </c>
      <c r="D126" s="31" t="s">
        <v>50</v>
      </c>
      <c r="E126" s="99">
        <v>3.5</v>
      </c>
      <c r="F126" s="85">
        <v>5</v>
      </c>
      <c r="G126" s="46">
        <v>5400</v>
      </c>
      <c r="H126" s="5"/>
      <c r="I126" s="5"/>
      <c r="J126" s="65">
        <f>(Table5[[#This Row],[RPM]]/5400-1)</f>
        <v>0</v>
      </c>
      <c r="K126" s="49"/>
      <c r="L126">
        <v>3</v>
      </c>
      <c r="M126" s="40">
        <v>600000</v>
      </c>
      <c r="N126">
        <v>180</v>
      </c>
      <c r="O126" s="40">
        <v>1000000</v>
      </c>
      <c r="P126" s="39">
        <f t="shared" si="14"/>
        <v>100000000000000</v>
      </c>
      <c r="Q126" s="57">
        <f>12*1.75</f>
        <v>21</v>
      </c>
      <c r="R126" s="5">
        <v>5.3</v>
      </c>
      <c r="S126" s="5">
        <v>3.4</v>
      </c>
      <c r="T126" s="129">
        <v>0.4</v>
      </c>
      <c r="U126" s="133">
        <f>(((Table5[[#This Row],[Watts Active]]*Power_On_Hours_Year/1000)*Active_Duty_Cycle)+((Table5[[#This Row],[Watts Idle]]*Power_On_Hours_Year/1000)*(100%-Active_Duty_Cycle)))*CostPerKWH</f>
        <v>4.1418216000000001</v>
      </c>
      <c r="V126" s="168">
        <f>Table5[Energy$year]/Table5[[#This Row],[SizTB]]</f>
        <v>0.82836432000000004</v>
      </c>
      <c r="W126" s="166">
        <v>262</v>
      </c>
      <c r="X126" s="6">
        <f>Table5[[#This Row],[Cost]]/Table5[[#This Row],[SizTB]]*Exchange_Rate</f>
        <v>52.4</v>
      </c>
      <c r="Y126" s="172">
        <f>Table5[[#This Row],[Cost]]+((CompareWarrYrs-Table5[[#This Row],[S]])*(Incremental_Warr_Yr*Table5[[#This Row],[Cost]]))*Exchange_Rate</f>
        <v>319.64</v>
      </c>
      <c r="Z126" s="6">
        <f>Table5[[#This Row],[$+Warr]]/Table5[[#This Row],[SizTB]]</f>
        <v>63.927999999999997</v>
      </c>
      <c r="AA126" s="6">
        <f>Table5[[#This Row],[$PerTB]]/CompareWarrYrs</f>
        <v>12.785599999999999</v>
      </c>
      <c r="AB126" s="186"/>
      <c r="AC126" s="187"/>
      <c r="AD126" s="44"/>
    </row>
    <row r="127" spans="1:30" x14ac:dyDescent="0.25">
      <c r="A127" s="1">
        <v>43094</v>
      </c>
      <c r="B127" t="s">
        <v>6</v>
      </c>
      <c r="C127" s="116" t="s">
        <v>56</v>
      </c>
      <c r="D127" s="31" t="s">
        <v>50</v>
      </c>
      <c r="E127" s="99">
        <v>3.5</v>
      </c>
      <c r="F127" s="85">
        <v>6</v>
      </c>
      <c r="G127" s="46">
        <v>5400</v>
      </c>
      <c r="H127" s="5"/>
      <c r="I127" s="5"/>
      <c r="J127" s="65">
        <f>(Table5[[#This Row],[RPM]]/5400-1)</f>
        <v>0</v>
      </c>
      <c r="K127" s="49">
        <v>175</v>
      </c>
      <c r="L127">
        <v>3</v>
      </c>
      <c r="M127" s="40">
        <v>600000</v>
      </c>
      <c r="N127">
        <v>180</v>
      </c>
      <c r="O127" s="40">
        <v>1000000</v>
      </c>
      <c r="P127" s="39">
        <f t="shared" si="14"/>
        <v>100000000000000</v>
      </c>
      <c r="Q127" s="57">
        <f>12*1.75</f>
        <v>21</v>
      </c>
      <c r="R127" s="5">
        <v>5.3</v>
      </c>
      <c r="S127" s="5">
        <v>3.4</v>
      </c>
      <c r="T127" s="129">
        <v>0.4</v>
      </c>
      <c r="U127" s="133">
        <f>(((Table5[[#This Row],[Watts Active]]*Power_On_Hours_Year/1000)*Active_Duty_Cycle)+((Table5[[#This Row],[Watts Idle]]*Power_On_Hours_Year/1000)*(100%-Active_Duty_Cycle)))*CostPerKWH</f>
        <v>4.1418216000000001</v>
      </c>
      <c r="V127" s="168">
        <f>Table5[Energy$year]/Table5[[#This Row],[SizTB]]</f>
        <v>0.69030360000000002</v>
      </c>
      <c r="W127" s="167">
        <v>189.99</v>
      </c>
      <c r="X127" s="6">
        <f>Table5[[#This Row],[Cost]]/Table5[[#This Row],[SizTB]]*Exchange_Rate</f>
        <v>31.665000000000003</v>
      </c>
      <c r="Y127" s="172">
        <f>Table5[[#This Row],[Cost]]+((CompareWarrYrs-Table5[[#This Row],[S]])*(Incremental_Warr_Yr*Table5[[#This Row],[Cost]]))*Exchange_Rate</f>
        <v>231.7878</v>
      </c>
      <c r="Z127" s="6">
        <f>Table5[[#This Row],[$+Warr]]/Table5[[#This Row],[SizTB]]</f>
        <v>38.631300000000003</v>
      </c>
      <c r="AA127" s="6">
        <f>Table5[[#This Row],[$PerTB]]/CompareWarrYrs</f>
        <v>7.7262600000000008</v>
      </c>
      <c r="AB127" s="186">
        <v>25</v>
      </c>
      <c r="AC127" s="187">
        <v>28</v>
      </c>
      <c r="AD127" s="44"/>
    </row>
    <row r="128" spans="1:30" x14ac:dyDescent="0.25">
      <c r="A128" s="1">
        <v>43085</v>
      </c>
      <c r="B128" t="s">
        <v>6</v>
      </c>
      <c r="C128" s="116" t="s">
        <v>56</v>
      </c>
      <c r="D128" s="31" t="s">
        <v>50</v>
      </c>
      <c r="E128" s="99">
        <v>3.5</v>
      </c>
      <c r="F128" s="85">
        <v>8</v>
      </c>
      <c r="G128" s="46">
        <v>5400</v>
      </c>
      <c r="H128" s="5"/>
      <c r="I128" s="5"/>
      <c r="J128" s="65">
        <f>(Table5[[#This Row],[RPM]]/5400-1)</f>
        <v>0</v>
      </c>
      <c r="K128" s="49">
        <v>178</v>
      </c>
      <c r="L128">
        <v>3</v>
      </c>
      <c r="M128" s="40">
        <v>600000</v>
      </c>
      <c r="N128">
        <v>180</v>
      </c>
      <c r="O128" s="40">
        <v>1000000</v>
      </c>
      <c r="P128" s="39">
        <f t="shared" si="14"/>
        <v>100000000000000</v>
      </c>
      <c r="Q128" s="57">
        <f>12*1.79</f>
        <v>21.48</v>
      </c>
      <c r="R128" s="5">
        <v>6.4</v>
      </c>
      <c r="S128" s="5">
        <v>5.2</v>
      </c>
      <c r="T128" s="129">
        <v>0.7</v>
      </c>
      <c r="U128" s="133">
        <f>(((Table5[[#This Row],[Watts Active]]*Power_On_Hours_Year/1000)*Active_Duty_Cycle)+((Table5[[#This Row],[Watts Idle]]*Power_On_Hours_Year/1000)*(100%-Active_Duty_Cycle)))*CostPerKWH</f>
        <v>5.960716800000001</v>
      </c>
      <c r="V128" s="168">
        <f>Table5[Energy$year]/Table5[[#This Row],[SizTB]]</f>
        <v>0.74508960000000013</v>
      </c>
      <c r="W128" s="167">
        <v>249.99</v>
      </c>
      <c r="X128" s="6">
        <f>Table5[[#This Row],[Cost]]/Table5[[#This Row],[SizTB]]*Exchange_Rate</f>
        <v>31.248750000000001</v>
      </c>
      <c r="Y128" s="172">
        <f>Table5[[#This Row],[Cost]]+((CompareWarrYrs-Table5[[#This Row],[S]])*(Incremental_Warr_Yr*Table5[[#This Row],[Cost]]))*Exchange_Rate</f>
        <v>304.98779999999999</v>
      </c>
      <c r="Z128" s="6">
        <f>Table5[[#This Row],[$+Warr]]/Table5[[#This Row],[SizTB]]</f>
        <v>38.123474999999999</v>
      </c>
      <c r="AA128" s="6">
        <f>Table5[[#This Row],[$PerTB]]/CompareWarrYrs</f>
        <v>7.624695</v>
      </c>
      <c r="AB128" s="186">
        <v>20</v>
      </c>
      <c r="AC128" s="187">
        <v>29</v>
      </c>
      <c r="AD128" s="123" t="s">
        <v>38</v>
      </c>
    </row>
    <row r="129" spans="1:30" x14ac:dyDescent="0.25">
      <c r="A129" s="1">
        <v>43083</v>
      </c>
      <c r="B129" t="s">
        <v>6</v>
      </c>
      <c r="C129" s="116" t="s">
        <v>56</v>
      </c>
      <c r="D129" s="31" t="s">
        <v>50</v>
      </c>
      <c r="E129" s="99">
        <v>3.5</v>
      </c>
      <c r="F129" s="85">
        <v>10</v>
      </c>
      <c r="G129" s="46">
        <v>5400</v>
      </c>
      <c r="H129" s="5"/>
      <c r="I129" s="5"/>
      <c r="J129" s="65">
        <f>(Table5[[#This Row],[RPM]]/5400-1)</f>
        <v>0</v>
      </c>
      <c r="K129" s="49">
        <v>210</v>
      </c>
      <c r="L129">
        <v>3</v>
      </c>
      <c r="M129" s="40">
        <v>600000</v>
      </c>
      <c r="N129">
        <v>180</v>
      </c>
      <c r="O129" s="40">
        <v>1000000</v>
      </c>
      <c r="P129" s="39">
        <f t="shared" si="14"/>
        <v>100000000000000</v>
      </c>
      <c r="Q129" s="57">
        <f>12*1.79</f>
        <v>21.48</v>
      </c>
      <c r="R129" s="5">
        <v>5.7</v>
      </c>
      <c r="S129" s="5">
        <v>2.8</v>
      </c>
      <c r="T129" s="129">
        <v>0.5</v>
      </c>
      <c r="U129" s="133">
        <f>(((Table5[[#This Row],[Watts Active]]*Power_On_Hours_Year/1000)*Active_Duty_Cycle)+((Table5[[#This Row],[Watts Idle]]*Power_On_Hours_Year/1000)*(100%-Active_Duty_Cycle)))*CostPerKWH</f>
        <v>3.7035336000000001</v>
      </c>
      <c r="V129" s="168">
        <f>Table5[Energy$year]/Table5[[#This Row],[SizTB]]</f>
        <v>0.37035336000000002</v>
      </c>
      <c r="W129" s="167">
        <v>359.99</v>
      </c>
      <c r="X129" s="6">
        <f>Table5[[#This Row],[Cost]]/Table5[[#This Row],[SizTB]]*Exchange_Rate</f>
        <v>35.999000000000002</v>
      </c>
      <c r="Y129" s="172">
        <f>Table5[[#This Row],[Cost]]+((CompareWarrYrs-Table5[[#This Row],[S]])*(Incremental_Warr_Yr*Table5[[#This Row],[Cost]]))*Exchange_Rate</f>
        <v>439.18780000000004</v>
      </c>
      <c r="Z129" s="6">
        <f>Table5[[#This Row],[$+Warr]]/Table5[[#This Row],[SizTB]]</f>
        <v>43.918780000000005</v>
      </c>
      <c r="AA129" s="6">
        <f>Table5[[#This Row],[$PerTB]]/CompareWarrYrs</f>
        <v>8.7837560000000003</v>
      </c>
      <c r="AB129" s="186">
        <v>20</v>
      </c>
      <c r="AC129" s="187">
        <v>29</v>
      </c>
      <c r="AD129" s="123" t="s">
        <v>38</v>
      </c>
    </row>
    <row r="130" spans="1:30" x14ac:dyDescent="0.25">
      <c r="A130" s="1">
        <v>43019</v>
      </c>
      <c r="B130" t="s">
        <v>6</v>
      </c>
      <c r="C130" s="116" t="s">
        <v>12</v>
      </c>
      <c r="D130" s="31" t="s">
        <v>50</v>
      </c>
      <c r="E130" s="99">
        <v>3.5</v>
      </c>
      <c r="F130" s="85">
        <v>2</v>
      </c>
      <c r="G130" s="46">
        <v>7200</v>
      </c>
      <c r="H130" s="5"/>
      <c r="I130" s="5"/>
      <c r="J130" s="65">
        <f>(Table5[[#This Row],[RPM]]/5400-1)</f>
        <v>0.33333333333333326</v>
      </c>
      <c r="K130" s="49">
        <v>164</v>
      </c>
      <c r="L130">
        <v>5</v>
      </c>
      <c r="M130" s="40">
        <v>600000</v>
      </c>
      <c r="N130">
        <v>300</v>
      </c>
      <c r="O130" s="40">
        <v>1000000</v>
      </c>
      <c r="P130" s="39">
        <v>1000000000000000</v>
      </c>
      <c r="Q130" s="57">
        <f>12*1.9</f>
        <v>22.799999999999997</v>
      </c>
      <c r="R130" s="5">
        <v>7.8</v>
      </c>
      <c r="S130" s="5">
        <v>6</v>
      </c>
      <c r="T130" s="129">
        <v>1.4</v>
      </c>
      <c r="U130" s="133">
        <f>(((Table5[[#This Row],[Watts Active]]*Power_On_Hours_Year/1000)*Active_Duty_Cycle)+((Table5[[#This Row],[Watts Idle]]*Power_On_Hours_Year/1000)*(100%-Active_Duty_Cycle)))*CostPerKWH</f>
        <v>6.9687792000000002</v>
      </c>
      <c r="V130" s="168">
        <f>Table5[Energy$year]/Table5[[#This Row],[SizTB]]</f>
        <v>3.4843896000000001</v>
      </c>
      <c r="W130" s="166">
        <v>120.99</v>
      </c>
      <c r="X130" s="6">
        <f>Table5[[#This Row],[Cost]]/Table5[[#This Row],[SizTB]]*Exchange_Rate</f>
        <v>60.494999999999997</v>
      </c>
      <c r="Y130" s="172">
        <f>Table5[[#This Row],[Cost]]+((CompareWarrYrs-Table5[[#This Row],[S]])*(Incremental_Warr_Yr*Table5[[#This Row],[Cost]]))*Exchange_Rate</f>
        <v>120.99</v>
      </c>
      <c r="Z130" s="6">
        <f>Table5[[#This Row],[$+Warr]]/Table5[[#This Row],[SizTB]]</f>
        <v>60.494999999999997</v>
      </c>
      <c r="AA130" s="6">
        <f>Table5[[#This Row],[$PerTB]]/CompareWarrYrs</f>
        <v>12.099</v>
      </c>
      <c r="AB130" s="186">
        <v>31</v>
      </c>
      <c r="AC130" s="187">
        <v>34</v>
      </c>
      <c r="AD130" s="44"/>
    </row>
    <row r="131" spans="1:30" x14ac:dyDescent="0.25">
      <c r="A131" s="1">
        <v>43001</v>
      </c>
      <c r="B131" t="s">
        <v>6</v>
      </c>
      <c r="C131" s="116" t="s">
        <v>12</v>
      </c>
      <c r="D131" s="31" t="s">
        <v>50</v>
      </c>
      <c r="E131" s="99">
        <v>3.5</v>
      </c>
      <c r="F131" s="85">
        <v>3</v>
      </c>
      <c r="G131" s="46">
        <v>7200</v>
      </c>
      <c r="H131" s="5"/>
      <c r="I131" s="5"/>
      <c r="J131" s="65">
        <f>(Table5[[#This Row],[RPM]]/5400-1)</f>
        <v>0.33333333333333326</v>
      </c>
      <c r="K131" s="49"/>
      <c r="L131">
        <v>5</v>
      </c>
      <c r="M131" s="40">
        <v>600000</v>
      </c>
      <c r="N131">
        <v>300</v>
      </c>
      <c r="O131" s="40">
        <v>1000000</v>
      </c>
      <c r="P131" s="39">
        <v>1000000000000000</v>
      </c>
      <c r="Q131" s="57">
        <f>12*1.9</f>
        <v>22.799999999999997</v>
      </c>
      <c r="R131" s="5">
        <v>8.6</v>
      </c>
      <c r="S131" s="5">
        <v>6.5</v>
      </c>
      <c r="T131" s="129">
        <v>0.6</v>
      </c>
      <c r="U131" s="133">
        <f>(((Table5[[#This Row],[Watts Active]]*Power_On_Hours_Year/1000)*Active_Duty_Cycle)+((Table5[[#This Row],[Watts Idle]]*Power_On_Hours_Year/1000)*(100%-Active_Duty_Cycle)))*CostPerKWH</f>
        <v>7.5823824000000002</v>
      </c>
      <c r="V131" s="168">
        <f>Table5[Energy$year]/Table5[[#This Row],[SizTB]]</f>
        <v>2.5274608000000001</v>
      </c>
      <c r="W131" s="166">
        <v>209.99</v>
      </c>
      <c r="X131" s="6">
        <f>Table5[[#This Row],[Cost]]/Table5[[#This Row],[SizTB]]*Exchange_Rate</f>
        <v>69.99666666666667</v>
      </c>
      <c r="Y131" s="172">
        <f>Table5[[#This Row],[Cost]]+((CompareWarrYrs-Table5[[#This Row],[S]])*(Incremental_Warr_Yr*Table5[[#This Row],[Cost]]))*Exchange_Rate</f>
        <v>209.99</v>
      </c>
      <c r="Z131" s="6">
        <f>Table5[[#This Row],[$+Warr]]/Table5[[#This Row],[SizTB]]</f>
        <v>69.99666666666667</v>
      </c>
      <c r="AA131" s="6">
        <f>Table5[[#This Row],[$PerTB]]/CompareWarrYrs</f>
        <v>13.999333333333334</v>
      </c>
      <c r="AB131" s="186"/>
      <c r="AC131" s="187"/>
      <c r="AD131" s="44"/>
    </row>
    <row r="132" spans="1:30" x14ac:dyDescent="0.25">
      <c r="A132" s="1">
        <v>43019</v>
      </c>
      <c r="B132" t="s">
        <v>6</v>
      </c>
      <c r="C132" s="116" t="s">
        <v>12</v>
      </c>
      <c r="D132" s="31" t="s">
        <v>50</v>
      </c>
      <c r="E132" s="99">
        <v>3.5</v>
      </c>
      <c r="F132" s="85">
        <v>4</v>
      </c>
      <c r="G132" s="46">
        <v>7200</v>
      </c>
      <c r="H132" s="5"/>
      <c r="I132" s="5"/>
      <c r="J132" s="65">
        <f>(Table5[[#This Row],[RPM]]/5400-1)</f>
        <v>0.33333333333333326</v>
      </c>
      <c r="K132" s="49">
        <v>202</v>
      </c>
      <c r="L132">
        <v>5</v>
      </c>
      <c r="M132" s="40">
        <v>600000</v>
      </c>
      <c r="N132">
        <v>300</v>
      </c>
      <c r="O132" s="40">
        <v>1000000</v>
      </c>
      <c r="P132" s="39">
        <v>1000000000000000</v>
      </c>
      <c r="Q132" s="57">
        <f>12*1.79</f>
        <v>21.48</v>
      </c>
      <c r="R132" s="5">
        <v>9.1</v>
      </c>
      <c r="S132" s="5">
        <v>7.1</v>
      </c>
      <c r="T132" s="129">
        <v>1</v>
      </c>
      <c r="U132" s="133">
        <f>(((Table5[[#This Row],[Watts Active]]*Power_On_Hours_Year/1000)*Active_Duty_Cycle)+((Table5[[#This Row],[Watts Idle]]*Power_On_Hours_Year/1000)*(100%-Active_Duty_Cycle)))*CostPerKWH</f>
        <v>8.2179000000000002</v>
      </c>
      <c r="V132" s="168">
        <f>Table5[Energy$year]/Table5[[#This Row],[SizTB]]</f>
        <v>2.0544750000000001</v>
      </c>
      <c r="W132" s="166">
        <v>174.99</v>
      </c>
      <c r="X132" s="6">
        <f>Table5[[#This Row],[Cost]]/Table5[[#This Row],[SizTB]]*Exchange_Rate</f>
        <v>43.747500000000002</v>
      </c>
      <c r="Y132" s="172">
        <f>Table5[[#This Row],[Cost]]+((CompareWarrYrs-Table5[[#This Row],[S]])*(Incremental_Warr_Yr*Table5[[#This Row],[Cost]]))*Exchange_Rate</f>
        <v>174.99</v>
      </c>
      <c r="Z132" s="6">
        <f>Table5[[#This Row],[$+Warr]]/Table5[[#This Row],[SizTB]]</f>
        <v>43.747500000000002</v>
      </c>
      <c r="AA132" s="6">
        <f>Table5[[#This Row],[$PerTB]]/CompareWarrYrs</f>
        <v>8.7495000000000012</v>
      </c>
      <c r="AB132" s="186">
        <v>29</v>
      </c>
      <c r="AC132" s="187">
        <v>36</v>
      </c>
      <c r="AD132" s="44"/>
    </row>
    <row r="133" spans="1:30" x14ac:dyDescent="0.25">
      <c r="A133" s="1">
        <v>43085</v>
      </c>
      <c r="B133" t="s">
        <v>6</v>
      </c>
      <c r="C133" s="116" t="s">
        <v>12</v>
      </c>
      <c r="D133" s="31" t="s">
        <v>50</v>
      </c>
      <c r="E133" s="99">
        <v>3.5</v>
      </c>
      <c r="F133" s="85">
        <v>6</v>
      </c>
      <c r="G133" s="46">
        <v>7200</v>
      </c>
      <c r="H133" s="5"/>
      <c r="I133" s="5"/>
      <c r="J133" s="65">
        <f>(Table5[[#This Row],[RPM]]/5400-1)</f>
        <v>0.33333333333333326</v>
      </c>
      <c r="K133" s="49">
        <v>227</v>
      </c>
      <c r="L133">
        <v>5</v>
      </c>
      <c r="M133" s="40">
        <v>600000</v>
      </c>
      <c r="N133">
        <v>300</v>
      </c>
      <c r="O133" s="40">
        <v>1000000</v>
      </c>
      <c r="P133" s="39">
        <v>1000000000000000</v>
      </c>
      <c r="Q133" s="57">
        <f>12*1.79</f>
        <v>21.48</v>
      </c>
      <c r="R133" s="5">
        <v>9.1</v>
      </c>
      <c r="S133" s="5">
        <v>7.1</v>
      </c>
      <c r="T133" s="129">
        <v>1</v>
      </c>
      <c r="U133" s="133">
        <f>(((Table5[[#This Row],[Watts Active]]*Power_On_Hours_Year/1000)*Active_Duty_Cycle)+((Table5[[#This Row],[Watts Idle]]*Power_On_Hours_Year/1000)*(100%-Active_Duty_Cycle)))*CostPerKWH</f>
        <v>8.2179000000000002</v>
      </c>
      <c r="V133" s="168">
        <f>Table5[Energy$year]/Table5[[#This Row],[SizTB]]</f>
        <v>1.36965</v>
      </c>
      <c r="W133" s="167">
        <v>209.99</v>
      </c>
      <c r="X133" s="6">
        <f>Table5[[#This Row],[Cost]]/Table5[[#This Row],[SizTB]]*Exchange_Rate</f>
        <v>34.998333333333335</v>
      </c>
      <c r="Y133" s="172">
        <f>Table5[[#This Row],[Cost]]+((CompareWarrYrs-Table5[[#This Row],[S]])*(Incremental_Warr_Yr*Table5[[#This Row],[Cost]]))*Exchange_Rate</f>
        <v>209.99</v>
      </c>
      <c r="Z133" s="6">
        <f>Table5[[#This Row],[$+Warr]]/Table5[[#This Row],[SizTB]]</f>
        <v>34.998333333333335</v>
      </c>
      <c r="AA133" s="6">
        <f>Table5[[#This Row],[$PerTB]]/CompareWarrYrs</f>
        <v>6.9996666666666671</v>
      </c>
      <c r="AB133" s="186">
        <v>29</v>
      </c>
      <c r="AC133" s="187">
        <v>36</v>
      </c>
      <c r="AD133" s="44"/>
    </row>
    <row r="134" spans="1:30" x14ac:dyDescent="0.25">
      <c r="A134" s="1">
        <v>43071</v>
      </c>
      <c r="B134" t="s">
        <v>6</v>
      </c>
      <c r="C134" s="116" t="s">
        <v>12</v>
      </c>
      <c r="D134" s="31" t="s">
        <v>50</v>
      </c>
      <c r="E134" s="99">
        <v>3.5</v>
      </c>
      <c r="F134" s="85">
        <v>8</v>
      </c>
      <c r="G134" s="46">
        <v>7200</v>
      </c>
      <c r="H134" s="5"/>
      <c r="I134" s="5"/>
      <c r="J134" s="65">
        <f>(Table5[[#This Row],[RPM]]/5400-1)</f>
        <v>0.33333333333333326</v>
      </c>
      <c r="K134" s="49">
        <v>205</v>
      </c>
      <c r="L134">
        <v>5</v>
      </c>
      <c r="M134" s="40">
        <v>600000</v>
      </c>
      <c r="N134">
        <v>300</v>
      </c>
      <c r="O134" s="40">
        <v>1000000</v>
      </c>
      <c r="P134" s="39">
        <v>1000000000000000</v>
      </c>
      <c r="Q134" s="57">
        <f>12*1.79</f>
        <v>21.48</v>
      </c>
      <c r="R134" s="5">
        <v>8.3000000000000007</v>
      </c>
      <c r="S134" s="5">
        <v>5.2</v>
      </c>
      <c r="T134" s="129">
        <v>1</v>
      </c>
      <c r="U134" s="133">
        <f>(((Table5[[#This Row],[Watts Active]]*Power_On_Hours_Year/1000)*Active_Duty_Cycle)+((Table5[[#This Row],[Watts Idle]]*Power_On_Hours_Year/1000)*(100%-Active_Duty_Cycle)))*CostPerKWH</f>
        <v>6.377090400000001</v>
      </c>
      <c r="V134" s="168">
        <f>Table5[Energy$year]/Table5[[#This Row],[SizTB]]</f>
        <v>0.79713630000000013</v>
      </c>
      <c r="W134" s="167">
        <v>289.99</v>
      </c>
      <c r="X134" s="6">
        <f>Table5[[#This Row],[Cost]]/Table5[[#This Row],[SizTB]]*Exchange_Rate</f>
        <v>36.248750000000001</v>
      </c>
      <c r="Y134" s="172">
        <f>Table5[[#This Row],[Cost]]+((CompareWarrYrs-Table5[[#This Row],[S]])*(Incremental_Warr_Yr*Table5[[#This Row],[Cost]]))*Exchange_Rate</f>
        <v>289.99</v>
      </c>
      <c r="Z134" s="6">
        <f>Table5[[#This Row],[$+Warr]]/Table5[[#This Row],[SizTB]]</f>
        <v>36.248750000000001</v>
      </c>
      <c r="AA134" s="6">
        <f>Table5[[#This Row],[$PerTB]]/CompareWarrYrs</f>
        <v>7.2497500000000006</v>
      </c>
      <c r="AB134" s="186">
        <v>20</v>
      </c>
      <c r="AC134" s="187">
        <v>36</v>
      </c>
      <c r="AD134" s="123" t="s">
        <v>38</v>
      </c>
    </row>
    <row r="135" spans="1:30" ht="15.75" thickBot="1" x14ac:dyDescent="0.3">
      <c r="A135" s="1">
        <v>43019</v>
      </c>
      <c r="B135" t="s">
        <v>6</v>
      </c>
      <c r="C135" s="116" t="s">
        <v>12</v>
      </c>
      <c r="D135" s="107" t="s">
        <v>50</v>
      </c>
      <c r="E135" s="99">
        <v>3.5</v>
      </c>
      <c r="F135" s="85">
        <v>10</v>
      </c>
      <c r="G135" s="47">
        <v>7200</v>
      </c>
      <c r="H135" s="5"/>
      <c r="I135" s="5"/>
      <c r="J135" s="65">
        <f>(Table5[[#This Row],[RPM]]/5400-1)</f>
        <v>0.33333333333333326</v>
      </c>
      <c r="K135" s="50">
        <v>240</v>
      </c>
      <c r="L135">
        <v>5</v>
      </c>
      <c r="M135" s="40">
        <v>600000</v>
      </c>
      <c r="N135">
        <v>300</v>
      </c>
      <c r="O135" s="40">
        <v>1000000</v>
      </c>
      <c r="P135" s="39">
        <v>1000000000000000</v>
      </c>
      <c r="Q135" s="57">
        <f>12*1.8</f>
        <v>21.6</v>
      </c>
      <c r="R135" s="5">
        <v>5.7</v>
      </c>
      <c r="S135" s="5">
        <v>2.8</v>
      </c>
      <c r="T135" s="129">
        <v>0.5</v>
      </c>
      <c r="U135" s="136">
        <f>(((Table5[[#This Row],[Watts Active]]*Power_On_Hours_Year/1000)*Active_Duty_Cycle)+((Table5[[#This Row],[Watts Idle]]*Power_On_Hours_Year/1000)*(100%-Active_Duty_Cycle)))*CostPerKWH</f>
        <v>3.7035336000000001</v>
      </c>
      <c r="V135" s="170">
        <f>Table5[Energy$year]/Table5[[#This Row],[SizTB]]</f>
        <v>0.37035336000000002</v>
      </c>
      <c r="W135" s="166">
        <v>440.77</v>
      </c>
      <c r="X135" s="6">
        <f>Table5[[#This Row],[Cost]]/Table5[[#This Row],[SizTB]]*Exchange_Rate</f>
        <v>44.076999999999998</v>
      </c>
      <c r="Y135" s="173">
        <f>Table5[[#This Row],[Cost]]+((CompareWarrYrs-Table5[[#This Row],[S]])*(Incremental_Warr_Yr*Table5[[#This Row],[Cost]]))*Exchange_Rate</f>
        <v>440.77</v>
      </c>
      <c r="Z135" s="6">
        <f>Table5[[#This Row],[$+Warr]]/Table5[[#This Row],[SizTB]]</f>
        <v>44.076999999999998</v>
      </c>
      <c r="AA135" s="6">
        <f>Table5[[#This Row],[$PerTB]]/CompareWarrYrs</f>
        <v>8.8154000000000003</v>
      </c>
      <c r="AB135" s="186">
        <v>20</v>
      </c>
      <c r="AC135" s="187">
        <v>29</v>
      </c>
      <c r="AD135" s="123" t="s">
        <v>38</v>
      </c>
    </row>
    <row r="136" spans="1:30" ht="15.75" thickBot="1" x14ac:dyDescent="0.3">
      <c r="A136" s="7"/>
      <c r="B136" s="7"/>
      <c r="C136" s="7"/>
      <c r="D136" s="12" t="s">
        <v>23</v>
      </c>
      <c r="E136" s="102">
        <f>MIN(Table5[FormFactor])</f>
        <v>2.5</v>
      </c>
      <c r="F136" s="61">
        <f>MIN(Table5[SizTB])</f>
        <v>0.6</v>
      </c>
      <c r="G136" s="147">
        <f>MIN(Table5[RPM])</f>
        <v>5400</v>
      </c>
      <c r="H136" s="13">
        <f>MIN(Table5[AvgLatency])</f>
        <v>1.99</v>
      </c>
      <c r="I136" s="13">
        <f>MIN(Table5[SeekT])</f>
        <v>2.9</v>
      </c>
      <c r="J136" s="15"/>
      <c r="K136" s="66">
        <f>MIN(Table5[XferRate])</f>
        <v>99</v>
      </c>
      <c r="L136" s="54">
        <f>MIN(Table5[S])</f>
        <v>2</v>
      </c>
      <c r="M136" s="41">
        <f>MIN(Table5[CycleCnt])</f>
        <v>300000</v>
      </c>
      <c r="N136" s="13">
        <f>MIN(Table5[WorkLoad])</f>
        <v>55</v>
      </c>
      <c r="O136" s="41">
        <f>MIN(Table5[MTBF])</f>
        <v>500000</v>
      </c>
      <c r="P136" s="51">
        <f>MIN(Table5[RErrRate])</f>
        <v>100000000000000</v>
      </c>
      <c r="Q136" s="58">
        <f>MIN(Table5[MaxStartupWatts])</f>
        <v>4.5</v>
      </c>
      <c r="R136" s="13">
        <f>MIN(R3:R135)</f>
        <v>1.4</v>
      </c>
      <c r="S136" s="13">
        <f>MIN(S3:S135)</f>
        <v>0.45</v>
      </c>
      <c r="T136" s="131">
        <f>MIN(Table5[WattsStandby])</f>
        <v>0.1</v>
      </c>
      <c r="U136" s="137">
        <f>MIN(Table5[Energy$year])</f>
        <v>0</v>
      </c>
      <c r="V136" s="149">
        <f>MIN(Table5[Energy$yearPerTB])</f>
        <v>0</v>
      </c>
      <c r="W136" s="137">
        <f>MIN(Table5[Cost])</f>
        <v>42.49</v>
      </c>
      <c r="X136" s="14">
        <f>MIN(Table5[$ TB])</f>
        <v>0</v>
      </c>
      <c r="Y136" s="14">
        <f>MIN(Table5[$ TB])</f>
        <v>0</v>
      </c>
      <c r="Z136" s="14">
        <f>MIN(Table5[$PerTB])</f>
        <v>0</v>
      </c>
      <c r="AA136" s="149">
        <f>MIN(Table5[$ TB/year])</f>
        <v>0</v>
      </c>
      <c r="AB136" s="192">
        <f>MIN(Table5[DBA_Idle])</f>
        <v>20</v>
      </c>
      <c r="AC136" s="193">
        <f>MIN(Table5[DBA_Seek])</f>
        <v>22</v>
      </c>
    </row>
    <row r="137" spans="1:30" ht="15.75" thickBot="1" x14ac:dyDescent="0.3">
      <c r="B137" s="4"/>
      <c r="D137" s="16" t="s">
        <v>35</v>
      </c>
      <c r="E137" s="103">
        <f>AVERAGE(Table5[FormFactor])</f>
        <v>3.3045112781954886</v>
      </c>
      <c r="F137" s="62">
        <f>AVERAGE(Table5[SizTB])</f>
        <v>4.7469924812030078</v>
      </c>
      <c r="G137" s="148">
        <f>AVERAGE(Table5[RPM])</f>
        <v>7171.6541353383454</v>
      </c>
      <c r="H137" s="17">
        <f>AVERAGE(Table5[AvgLatency])</f>
        <v>4.0960526315789485</v>
      </c>
      <c r="I137" s="17">
        <f>AVERAGE(Table5[SeekT])</f>
        <v>8.8028571428571425</v>
      </c>
      <c r="J137" s="18"/>
      <c r="K137" s="67">
        <f>AVERAGE(Table5[XferRate])</f>
        <v>196.94912280701755</v>
      </c>
      <c r="L137" s="55">
        <f>AVERAGE(Table5[S])</f>
        <v>3.9172932330827068</v>
      </c>
      <c r="M137" s="42">
        <f>AVERAGE(Table5[CycleCnt])</f>
        <v>523404.25531914894</v>
      </c>
      <c r="N137" s="17">
        <f>AVERAGE(Table5[WorkLoad])</f>
        <v>350.73170731707319</v>
      </c>
      <c r="O137" s="42">
        <f>AVERAGE(O3:O135)</f>
        <v>1576041.6666666667</v>
      </c>
      <c r="P137" s="52">
        <f>AVERAGE(Table5[RErrRate])</f>
        <v>5910400000000000</v>
      </c>
      <c r="Q137" s="59">
        <f>AVERAGE(Table5[MaxStartupWatts])</f>
        <v>19.756591549295777</v>
      </c>
      <c r="R137" s="17">
        <f>AVERAGE(R3:R135)</f>
        <v>6.7081102362204703</v>
      </c>
      <c r="S137" s="17">
        <f>AVERAGE(S3:S135)</f>
        <v>4.6670229007633584</v>
      </c>
      <c r="T137" s="132">
        <f>AVERAGE(Table5[WattsStandby])</f>
        <v>0.68166197183098609</v>
      </c>
      <c r="U137" s="138">
        <f>AVERAGE(Table5[Energy$year])</f>
        <v>5.4331573488372067</v>
      </c>
      <c r="V137" s="150">
        <f>AVERAGE(Table5[Energy$yearPerTB])</f>
        <v>2.0562833087678105</v>
      </c>
      <c r="W137" s="138">
        <f>AVERAGE(Table5[Cost])</f>
        <v>192.77745967741973</v>
      </c>
      <c r="X137" s="19">
        <f>AVERAGE(Table5[$ TB])</f>
        <v>50.961860484544658</v>
      </c>
      <c r="Y137" s="19">
        <f>AVERAGE(Table5[$ TB])</f>
        <v>50.961860484544658</v>
      </c>
      <c r="Z137" s="19">
        <f>AVERAGE(Table5[$PerTB])</f>
        <v>55.368183623642423</v>
      </c>
      <c r="AA137" s="150">
        <f>AVERAGE(Table5[$ TB/year])</f>
        <v>11.073636724728486</v>
      </c>
      <c r="AB137" s="194">
        <f>AVERAGE(Table5[DBA_Idle])</f>
        <v>25.515151515151516</v>
      </c>
      <c r="AC137" s="195">
        <f>AVERAGE(Table5[DBA_Seek])</f>
        <v>30.620689655172413</v>
      </c>
    </row>
    <row r="138" spans="1:30" ht="15.75" thickBot="1" x14ac:dyDescent="0.3">
      <c r="B138" s="4"/>
      <c r="D138" s="68" t="s">
        <v>22</v>
      </c>
      <c r="E138" s="104">
        <f>MEDIAN(Table5[FormFactor])</f>
        <v>3.5</v>
      </c>
      <c r="F138" s="62">
        <f>MEDIAN(Table5[SizTB])</f>
        <v>4</v>
      </c>
      <c r="G138" s="148">
        <f>MEDIAN(Table5[RPM])</f>
        <v>7200</v>
      </c>
      <c r="H138" s="17">
        <f>MEDIAN(Table5[AvgLatency])</f>
        <v>4.16</v>
      </c>
      <c r="I138" s="17">
        <f>MEDIAN(Table5[SeekT])</f>
        <v>8.75</v>
      </c>
      <c r="J138" s="20"/>
      <c r="K138" s="67">
        <f>MEDIAN(Table5[XferRate])</f>
        <v>201.5</v>
      </c>
      <c r="L138" s="55">
        <f>MEDIAN(Table5[S])</f>
        <v>5</v>
      </c>
      <c r="M138" s="42">
        <f>MEDIAN(Table5[CycleCnt])</f>
        <v>600000</v>
      </c>
      <c r="N138" s="17">
        <f>MEDIAN(Table5[WorkLoad])</f>
        <v>300</v>
      </c>
      <c r="O138" s="42">
        <f>MEDIAN(Table5[MTBF])</f>
        <v>1200000</v>
      </c>
      <c r="P138" s="52">
        <f>MEDIAN(Table5[RErrRate])</f>
        <v>1000000000000000</v>
      </c>
      <c r="Q138" s="59">
        <f>MEDIAN(Table5[MaxStartupWatts])</f>
        <v>21.6</v>
      </c>
      <c r="R138" s="17">
        <f>MEDIAN(R3:R135)</f>
        <v>7</v>
      </c>
      <c r="S138" s="17">
        <f>MEDIAN(S3:S135)</f>
        <v>5</v>
      </c>
      <c r="T138" s="132">
        <f>MEDIAN(Table5[WattsStandby])</f>
        <v>0.7</v>
      </c>
      <c r="U138" s="138">
        <f>MEDIAN(Table5[Energy$year])</f>
        <v>5.960716800000001</v>
      </c>
      <c r="V138" s="150">
        <f>MEDIAN(Table5[Energy$yearPerTB])</f>
        <v>1.36965</v>
      </c>
      <c r="W138" s="138">
        <f>MEDIAN(Table5[Cost])</f>
        <v>179.7</v>
      </c>
      <c r="X138" s="19">
        <f>MEDIAN(Table5[$ TB])</f>
        <v>38.331666666666671</v>
      </c>
      <c r="Y138" s="19">
        <f>MEDIAN(Table5[$ TB])</f>
        <v>38.331666666666671</v>
      </c>
      <c r="Z138" s="19">
        <f>MEDIAN(Table5[$PerTB])</f>
        <v>42.497500000000002</v>
      </c>
      <c r="AA138" s="150">
        <f>MEDIAN(Table5[$ TB/year])</f>
        <v>8.4995000000000012</v>
      </c>
      <c r="AB138" s="194">
        <f>MEDIAN(Table5[DBA_Idle])</f>
        <v>25</v>
      </c>
      <c r="AC138" s="195">
        <f>MEDIAN(Table5[DBA_Seek])</f>
        <v>29</v>
      </c>
    </row>
    <row r="139" spans="1:30" ht="15.75" thickBot="1" x14ac:dyDescent="0.3">
      <c r="B139" t="s">
        <v>101</v>
      </c>
      <c r="D139" s="16" t="s">
        <v>24</v>
      </c>
      <c r="E139" s="103">
        <f>MAX(Table5[FormFactor])</f>
        <v>3.5</v>
      </c>
      <c r="F139" s="62">
        <f>MAX(Table5[SizTB])</f>
        <v>14</v>
      </c>
      <c r="G139" s="148">
        <f>MAX(Table5[RPM])</f>
        <v>15030</v>
      </c>
      <c r="H139" s="17">
        <f>MAX(Table5[AvgLatency])</f>
        <v>6</v>
      </c>
      <c r="I139" s="17">
        <f>MAX(Table5[SeekT])</f>
        <v>16</v>
      </c>
      <c r="J139" s="18"/>
      <c r="K139" s="67">
        <f>MAX(Table5[XferRate])</f>
        <v>270</v>
      </c>
      <c r="L139" s="55">
        <f>MAX(Table5[S])</f>
        <v>5</v>
      </c>
      <c r="M139" s="42">
        <f>MAX(Table5[CycleCnt])</f>
        <v>600000</v>
      </c>
      <c r="N139" s="17">
        <f>MAX(Table5[WorkLoad])</f>
        <v>550</v>
      </c>
      <c r="O139" s="42">
        <f>MAX(Table5[MTBF])</f>
        <v>2500000</v>
      </c>
      <c r="P139" s="52">
        <f>MAX(Table5[RErrRate])</f>
        <v>1E+17</v>
      </c>
      <c r="Q139" s="59">
        <f>MAX(Table5[MaxStartupWatts])</f>
        <v>30</v>
      </c>
      <c r="R139" s="17">
        <f>MAX(R3:R135)</f>
        <v>11.3</v>
      </c>
      <c r="S139" s="17">
        <f>MAX(S3:S135)</f>
        <v>8.1</v>
      </c>
      <c r="T139" s="132">
        <f>MAX(Table5[WattsStandby])</f>
        <v>1.52</v>
      </c>
      <c r="U139" s="138">
        <f>MAX(Table5[Energy$year])</f>
        <v>9.1821336000000002</v>
      </c>
      <c r="V139" s="150">
        <f>MAX(Table5[Energy$yearPerTB])</f>
        <v>11.468536</v>
      </c>
      <c r="W139" s="138">
        <f>MAX(Table5[Cost])</f>
        <v>730</v>
      </c>
      <c r="X139" s="19">
        <f>MAX(Table5[$ TB])</f>
        <v>316.58333333333331</v>
      </c>
      <c r="Y139" s="19">
        <f>MAX(Table5[$ TB])</f>
        <v>316.58333333333331</v>
      </c>
      <c r="Z139" s="19">
        <f>MAX(Table5[$PerTB])</f>
        <v>316.58333333333331</v>
      </c>
      <c r="AA139" s="150">
        <f>MAX(Table5[$ TB/year])</f>
        <v>63.316666666666663</v>
      </c>
      <c r="AB139" s="194">
        <f>MAX(Table5[DBA_Idle])</f>
        <v>34</v>
      </c>
      <c r="AC139" s="195">
        <f>MAX(Table5[DBA_Seek])</f>
        <v>36</v>
      </c>
    </row>
    <row r="140" spans="1:30" ht="15.75" thickBot="1" x14ac:dyDescent="0.3">
      <c r="D140" s="21" t="s">
        <v>39</v>
      </c>
      <c r="E140" s="53">
        <f>COUNT(Table5[FormFactor])</f>
        <v>133</v>
      </c>
      <c r="F140" s="53">
        <f>COUNT(Table5[SizTB])</f>
        <v>133</v>
      </c>
      <c r="G140" s="53">
        <f>COUNT(Table5[RPM])</f>
        <v>133</v>
      </c>
      <c r="H140" s="22">
        <f>COUNT(Table5[AvgLatency])</f>
        <v>76</v>
      </c>
      <c r="I140" s="22">
        <f>COUNT(Table5[SeekT])</f>
        <v>42</v>
      </c>
      <c r="J140" s="23"/>
      <c r="K140" s="60">
        <f>COUNT(Table5[XferRate])</f>
        <v>114</v>
      </c>
      <c r="L140" s="56">
        <f>COUNT(Table5[S])</f>
        <v>133</v>
      </c>
      <c r="M140" s="22">
        <f>COUNT(Table5[CycleCnt])</f>
        <v>94</v>
      </c>
      <c r="N140" s="22">
        <f>COUNT(Table5[WorkLoad])</f>
        <v>82</v>
      </c>
      <c r="O140" s="22">
        <f>COUNT(Table5[MTBF])</f>
        <v>96</v>
      </c>
      <c r="P140" s="53">
        <f>COUNT(Table5[RErrRate])</f>
        <v>125</v>
      </c>
      <c r="Q140" s="152">
        <f>COUNT(Table5[MaxStartupWatts])</f>
        <v>71</v>
      </c>
      <c r="R140" s="153">
        <f>COUNT(Table5[Watts Active])</f>
        <v>127</v>
      </c>
      <c r="S140" s="153">
        <f>COUNT(Table5[Watts Idle])</f>
        <v>131</v>
      </c>
      <c r="T140" s="153">
        <f>COUNT(Table5[WattsStandby])</f>
        <v>71</v>
      </c>
      <c r="U140" s="153">
        <f>COUNT(Table5[Energy$year])</f>
        <v>129</v>
      </c>
      <c r="V140" s="154">
        <f>COUNT(Table5[Energy$yearPerTB])</f>
        <v>129</v>
      </c>
      <c r="W140" s="56">
        <f>COUNT(Table5[Cost])</f>
        <v>124</v>
      </c>
      <c r="X140" s="22">
        <f>COUNT(Table5[$ TB])</f>
        <v>133</v>
      </c>
      <c r="Y140" s="22">
        <f>COUNT(Table5[$ TB])</f>
        <v>133</v>
      </c>
      <c r="Z140" s="22">
        <f>COUNT(Table5[$PerTB])</f>
        <v>133</v>
      </c>
      <c r="AA140" s="151">
        <f>COUNTA(Table5[$ TB/year])</f>
        <v>133</v>
      </c>
      <c r="AB140" s="196">
        <f>COUNTA(Table5[DBA_Idle])</f>
        <v>33</v>
      </c>
      <c r="AC140" s="197">
        <f>COUNTA(Table5[DBA_Seek])</f>
        <v>29</v>
      </c>
    </row>
    <row r="143" spans="1:30" ht="15.75" thickBot="1" x14ac:dyDescent="0.3"/>
    <row r="144" spans="1:30" ht="15.75" thickBot="1" x14ac:dyDescent="0.3">
      <c r="A144" s="205" t="s">
        <v>25</v>
      </c>
      <c r="B144" s="206"/>
      <c r="C144" s="220"/>
      <c r="D144" s="221"/>
      <c r="E144" s="100"/>
    </row>
    <row r="145" spans="1:10" ht="15.75" thickBot="1" x14ac:dyDescent="0.3">
      <c r="A145" s="207">
        <f>MAX(Table5[Date])</f>
        <v>43103</v>
      </c>
      <c r="B145" s="208"/>
      <c r="C145" s="25" t="s">
        <v>19</v>
      </c>
      <c r="D145" s="33">
        <v>0.125</v>
      </c>
      <c r="E145" s="105"/>
      <c r="G145" s="28"/>
    </row>
    <row r="146" spans="1:10" ht="15.75" thickBot="1" x14ac:dyDescent="0.3">
      <c r="C146" s="25" t="s">
        <v>29</v>
      </c>
      <c r="D146" s="26">
        <v>0.2</v>
      </c>
      <c r="E146" s="106"/>
      <c r="G146" s="29"/>
    </row>
    <row r="147" spans="1:10" ht="15.75" thickBot="1" x14ac:dyDescent="0.3">
      <c r="A147" s="205" t="s">
        <v>69</v>
      </c>
      <c r="B147" s="206"/>
      <c r="C147" s="25" t="s">
        <v>34</v>
      </c>
      <c r="D147" s="27">
        <v>5</v>
      </c>
      <c r="E147" s="4"/>
      <c r="G147" s="30"/>
    </row>
    <row r="148" spans="1:10" ht="15.75" thickBot="1" x14ac:dyDescent="0.3">
      <c r="A148" s="203">
        <f>MIN(Table5[Date])</f>
        <v>43001</v>
      </c>
      <c r="B148" s="204"/>
      <c r="C148" s="25" t="s">
        <v>46</v>
      </c>
      <c r="D148" s="26">
        <v>0.11</v>
      </c>
      <c r="E148" s="106"/>
      <c r="G148" s="29"/>
      <c r="J148" s="146"/>
    </row>
    <row r="149" spans="1:10" ht="15.75" thickBot="1" x14ac:dyDescent="0.3">
      <c r="C149" s="25" t="s">
        <v>30</v>
      </c>
      <c r="D149" s="32">
        <f>365.24*Hours_In_Day</f>
        <v>8765.76</v>
      </c>
      <c r="E149" s="30"/>
    </row>
    <row r="150" spans="1:10" ht="15.75" thickBot="1" x14ac:dyDescent="0.3">
      <c r="C150" s="25" t="s">
        <v>52</v>
      </c>
      <c r="D150" s="27">
        <v>24</v>
      </c>
      <c r="E150" s="4"/>
      <c r="G150" s="30"/>
      <c r="H150" s="30"/>
      <c r="I150" s="30"/>
    </row>
    <row r="151" spans="1:10" ht="15.75" thickBot="1" x14ac:dyDescent="0.3">
      <c r="C151" s="25" t="s">
        <v>54</v>
      </c>
      <c r="D151" s="27">
        <f>Days_In_Month*Hours_In_Day</f>
        <v>730.48</v>
      </c>
      <c r="E151" s="4"/>
      <c r="G151" s="30"/>
      <c r="H151" s="30"/>
      <c r="I151" s="30"/>
    </row>
    <row r="152" spans="1:10" ht="15.75" thickBot="1" x14ac:dyDescent="0.3">
      <c r="C152" s="25" t="s">
        <v>51</v>
      </c>
      <c r="D152" s="27">
        <f>Days_in_Year/Months_In_Year</f>
        <v>30.436666666666667</v>
      </c>
      <c r="E152" s="4"/>
    </row>
    <row r="153" spans="1:10" ht="15.75" thickBot="1" x14ac:dyDescent="0.3">
      <c r="C153" s="25" t="s">
        <v>57</v>
      </c>
      <c r="D153" s="27">
        <v>365.24</v>
      </c>
      <c r="E153" s="4"/>
    </row>
    <row r="154" spans="1:10" ht="15.75" thickBot="1" x14ac:dyDescent="0.3">
      <c r="C154" s="25" t="s">
        <v>53</v>
      </c>
      <c r="D154" s="27">
        <v>12</v>
      </c>
      <c r="E154" s="4"/>
      <c r="G154" s="30"/>
      <c r="H154" s="30"/>
      <c r="I154" s="30"/>
    </row>
    <row r="155" spans="1:10" ht="15.75" thickBot="1" x14ac:dyDescent="0.3">
      <c r="C155" s="25" t="s">
        <v>128</v>
      </c>
      <c r="D155" s="145">
        <v>1</v>
      </c>
    </row>
    <row r="156" spans="1:10" x14ac:dyDescent="0.25">
      <c r="C156" s="143"/>
      <c r="D156" s="144"/>
    </row>
    <row r="157" spans="1:10" x14ac:dyDescent="0.25">
      <c r="C157" s="142"/>
      <c r="D157" s="142"/>
    </row>
    <row r="158" spans="1:10" x14ac:dyDescent="0.25">
      <c r="A158" s="121" t="s">
        <v>40</v>
      </c>
    </row>
    <row r="159" spans="1:10" ht="15.75" thickBot="1" x14ac:dyDescent="0.3"/>
    <row r="160" spans="1:10" ht="15.75" thickBot="1" x14ac:dyDescent="0.3">
      <c r="B160" s="178" t="s">
        <v>143</v>
      </c>
      <c r="C160" s="178" t="s">
        <v>135</v>
      </c>
    </row>
    <row r="161" spans="2:3" ht="15.75" thickBot="1" x14ac:dyDescent="0.3">
      <c r="B161" s="158" t="s">
        <v>130</v>
      </c>
      <c r="C161" s="155" t="s">
        <v>131</v>
      </c>
    </row>
    <row r="162" spans="2:3" ht="15.75" thickBot="1" x14ac:dyDescent="0.3">
      <c r="B162" s="159" t="s">
        <v>129</v>
      </c>
      <c r="C162" s="156" t="s">
        <v>132</v>
      </c>
    </row>
    <row r="163" spans="2:3" ht="30.75" thickBot="1" x14ac:dyDescent="0.3">
      <c r="B163" s="160" t="s">
        <v>50</v>
      </c>
      <c r="C163" s="157" t="s">
        <v>133</v>
      </c>
    </row>
    <row r="164" spans="2:3" ht="30.75" thickBot="1" x14ac:dyDescent="0.3">
      <c r="B164" s="159" t="s">
        <v>112</v>
      </c>
      <c r="C164" s="156" t="s">
        <v>134</v>
      </c>
    </row>
  </sheetData>
  <sortState ref="A2:S61">
    <sortCondition ref="B2:B61"/>
    <sortCondition ref="C2:C61"/>
    <sortCondition ref="G2:G61"/>
  </sortState>
  <mergeCells count="12">
    <mergeCell ref="AB1:AC1"/>
    <mergeCell ref="A148:B148"/>
    <mergeCell ref="A147:B147"/>
    <mergeCell ref="A145:B145"/>
    <mergeCell ref="Y1:AA1"/>
    <mergeCell ref="W1:X1"/>
    <mergeCell ref="L1:P1"/>
    <mergeCell ref="Q1:V1"/>
    <mergeCell ref="C144:D144"/>
    <mergeCell ref="A144:B144"/>
    <mergeCell ref="G1:K1"/>
    <mergeCell ref="A1:F1"/>
  </mergeCells>
  <conditionalFormatting sqref="X3:X135">
    <cfRule type="top10" dxfId="86" priority="593" bottom="1" rank="20"/>
  </conditionalFormatting>
  <conditionalFormatting sqref="AA3:AC135">
    <cfRule type="top10" dxfId="85" priority="595" bottom="1" rank="20"/>
  </conditionalFormatting>
  <conditionalFormatting sqref="V3:V135">
    <cfRule type="colorScale" priority="52">
      <colorScale>
        <cfvo type="min"/>
        <cfvo type="percentile" val="50"/>
        <cfvo type="max"/>
        <color theme="9" tint="-0.249977111117893"/>
        <color rgb="FFFFEB84"/>
        <color theme="5"/>
      </colorScale>
    </cfRule>
  </conditionalFormatting>
  <conditionalFormatting sqref="U3:U135">
    <cfRule type="colorScale" priority="599">
      <colorScale>
        <cfvo type="min"/>
        <cfvo type="percentile" val="50"/>
        <cfvo type="max"/>
        <color theme="9"/>
        <color rgb="FFFFEB84"/>
        <color theme="5"/>
      </colorScale>
    </cfRule>
  </conditionalFormatting>
  <conditionalFormatting sqref="Z3:Z135">
    <cfRule type="top10" dxfId="84" priority="51" bottom="1" rank="20"/>
  </conditionalFormatting>
  <hyperlinks>
    <hyperlink ref="C23" r:id="rId1"/>
    <hyperlink ref="C3" r:id="rId2"/>
    <hyperlink ref="C4:C6" r:id="rId3" display="Deskstar NAS"/>
    <hyperlink ref="C17" r:id="rId4"/>
    <hyperlink ref="C16" r:id="rId5"/>
    <hyperlink ref="C18" r:id="rId6"/>
    <hyperlink ref="C11:C14" r:id="rId7" display="Ultrastar 7K6"/>
    <hyperlink ref="C102:C105" r:id="rId8" display="Black"/>
    <hyperlink ref="C36:C41" r:id="rId9" location="pro-specs" display="BarraCuda Pro"/>
    <hyperlink ref="C27:C35" r:id="rId10" location="specs-3-5" display="BarraCuda"/>
    <hyperlink ref="C50:C54" r:id="rId11" display="Exos 7E8"/>
    <hyperlink ref="C44" r:id="rId12"/>
    <hyperlink ref="C42:C43" r:id="rId13" display="Exos 10E2400"/>
    <hyperlink ref="C55:C56" r:id="rId14" display="Exos X10"/>
    <hyperlink ref="C57" r:id="rId15"/>
    <hyperlink ref="C45" r:id="rId16" location="exos-5e8"/>
    <hyperlink ref="C113:C119" r:id="rId17" display="Gold Enterprise"/>
    <hyperlink ref="C130:C135" r:id="rId18" display="RED NAS Pro"/>
    <hyperlink ref="C122:C129" r:id="rId19" display="Red NAS"/>
    <hyperlink ref="C106:C112" r:id="rId20" display="Blue"/>
    <hyperlink ref="C111:C112" r:id="rId21" display="Blue"/>
    <hyperlink ref="C100" r:id="rId22"/>
    <hyperlink ref="C62:C68" r:id="rId23" location="specs" display="IronWolf"/>
    <hyperlink ref="C70:C74" r:id="rId24" location="pro-specs" display="IronWolf Pro"/>
    <hyperlink ref="C76" r:id="rId25"/>
    <hyperlink ref="C58:C59" r:id="rId26" location="3-5-inch-specs" display="FireCuda SSHD"/>
    <hyperlink ref="C60:C61" r:id="rId27" location="2-5-inch-specs" display="FireCuda SSHD"/>
    <hyperlink ref="A158" r:id="rId28"/>
    <hyperlink ref="AD128:AD129" r:id="rId29" display="Helium filled"/>
    <hyperlink ref="AD117:AD119" r:id="rId30" display="Helium filled"/>
    <hyperlink ref="AD134:AD135" r:id="rId31" display="Helium filled"/>
    <hyperlink ref="AD19:AD22" r:id="rId32" display="Helium filled"/>
    <hyperlink ref="AD15" r:id="rId33"/>
    <hyperlink ref="AD23" r:id="rId34"/>
    <hyperlink ref="C22" r:id="rId35"/>
    <hyperlink ref="C21" r:id="rId36"/>
    <hyperlink ref="C7" r:id="rId37" display="Travelstar 5K100"/>
    <hyperlink ref="C8" r:id="rId38" display="Travelstar 7K100"/>
    <hyperlink ref="C90:C92" r:id="rId39" display="N300"/>
    <hyperlink ref="C96:C99" r:id="rId40" display="X300"/>
    <hyperlink ref="C93:C95" r:id="rId41" display="P300"/>
    <hyperlink ref="C101" r:id="rId42"/>
    <hyperlink ref="C120:C121" r:id="rId43" display="Red NAS"/>
    <hyperlink ref="C80" r:id="rId44"/>
    <hyperlink ref="C81:C82" r:id="rId45" display="Enterprise Capacity"/>
    <hyperlink ref="C86" r:id="rId46"/>
    <hyperlink ref="C89" r:id="rId47"/>
    <hyperlink ref="C69" r:id="rId48" location="pro-specs"/>
    <hyperlink ref="C75" r:id="rId49" location="pro-specs"/>
    <hyperlink ref="W100" r:id="rId50" display="https://www.newegg.com/Product/Product.aspx?Item=9SIA5AD5YN7412&amp;utm_medium=Email&amp;utm_source=GD110617&amp;cm_mmc=EMC-GD110617-_-landing-_-Item-_-9SIA5AD5YN7412"/>
    <hyperlink ref="W106" r:id="rId51" display="https://www.newegg.com/Product/Product.aspx?Item=22-236-339&amp;utm_medium=Email&amp;utm_source=GD110617&amp;cm_mmc=EMC-GD110617-_-landing-_-Item-_-22-236-339"/>
    <hyperlink ref="W125" r:id="rId52" display="https://www.newegg.com/Product/Product.aspx?Item=N82E16822236599&amp;utm_medium=Email&amp;utm_source=IGNEFL121417&amp;cm_mmc=EMC-IGNEFL121417-_-EMC-121417-Index-_-DesktopInternalHardDrives-_-22236599-S0E&amp;ignorebbr=1"/>
    <hyperlink ref="W124" r:id="rId53" display="http://www.newegg.com/Product/Product.aspx?Item=N82E16822236344&amp;utm_medium=Email&amp;utm_source=IGNEFL121917&amp;cm_mmc=EMC-IGNEFL121917-_-EMC-121917-Index-_-DesktopInternalHardDrives-_-22236344-S0I&amp;ignorebbr=1"/>
    <hyperlink ref="W92" r:id="rId54" display="http://www.newegg.com/Product/Product.aspx?Item=N82E16822149695&amp;utm_medium=Email&amp;utm_source=IGNEFL121517&amp;cm_mmc=EMC-IGNEFL121517-_-EMC-121517-Index-_-DesktopInternalHardDrives-_-22149695-S1A3C&amp;ignorebbr=1"/>
    <hyperlink ref="W91" r:id="rId55" display="https://www.newegg.com/Product/Product.aspx?item=N82E16822149696"/>
    <hyperlink ref="W90" r:id="rId56" display="https://www.newegg.com/Product/Product.aspx?item=N82E16822149697"/>
    <hyperlink ref="W8" r:id="rId57" display="https://www.newegg.com/Product/Product.aspx?Item=22-145-881&amp;utm_medium=Email&amp;utm_source=GD110817&amp;cm_mmc=EMC-GD110817-_-landing-_-Item-_-22-145-881"/>
    <hyperlink ref="W16" r:id="rId58" display="https://www.newegg.com/Product/Product.aspx?Item=9SIA99462P4004"/>
    <hyperlink ref="W17" r:id="rId59" display="https://www.newegg.com/Product/Product.aspx?Item=9SIA99469N9136"/>
    <hyperlink ref="W18" r:id="rId60" display="https://www.newegg.com/Product/Product.aspx?Item=9SIA75M5XX1494"/>
    <hyperlink ref="W63" r:id="rId61" display="https://www.newegg.com/Product/Product.aspx?item=N82E16822179007"/>
    <hyperlink ref="AD18" r:id="rId62" display="32GB NAND, media caching"/>
    <hyperlink ref="AD20" r:id="rId63" display="Helium filled, media caching"/>
    <hyperlink ref="AD116" r:id="rId64" display="http://www.tomsitpro.com/articles/wd-hgst-8tb-hdd-gold,1-3248.html"/>
    <hyperlink ref="C15" r:id="rId65"/>
    <hyperlink ref="C19" r:id="rId66"/>
    <hyperlink ref="W19" r:id="rId67" display="https://www.goharddrive.com/HGST-Ultrastar-HE6-HUS726060ALA640-6TB-HDD-p/g01-1073.htm"/>
    <hyperlink ref="W105" r:id="rId68" display="https://www.newegg.com/Product/Product.aspx?Item=N82E16822235281&amp;ignorebbr=1"/>
    <hyperlink ref="W103" r:id="rId69" display="https://www.newegg.com/Product/Product.aspx?item=N82E16822236624"/>
    <hyperlink ref="W102" r:id="rId70" display="http://www.newegg.com/Product/Product.aspx?Item=N82E16822236625&amp;utm_medium=Email&amp;utm_source=IGNEFL121417&amp;cm_mmc=EMC-IGNEFL121417-_-EMC-121417-Index-_-DesktopInternalHardDrives-_-22236625-S1A1D&amp;ignorebbr=1"/>
    <hyperlink ref="W104" r:id="rId71" display="https://www.newegg.com/Product/Product.aspx?item=N82E16822235128"/>
    <hyperlink ref="W111" r:id="rId72" display="https://www.newegg.com/Product/Product.aspx?item=N82E16822236496"/>
    <hyperlink ref="W112" r:id="rId73" display="https://www.newegg.com/Product/Product.aspx?item=1B0-0020-000G1"/>
    <hyperlink ref="W121" r:id="rId74" display="https://www.newegg.com/Product/Product.aspx?item=N82E16822236600"/>
    <hyperlink ref="W120" r:id="rId75" display="https://www.newegg.com/Product/Product.aspx?item=N82E16822236601"/>
    <hyperlink ref="W73" r:id="rId76" display="https://www.ebay.com/itm/NEW-SEAGATE-NAS-HDD-8TB-7200RPM-ST8000NC0002-SATA-WD-RED-IRONWOLF-PRO-TERASCALE/292239419204?epid=2110441349&amp;hash=item440ad3a744:g:hgoAAOSw81dZrN2K"/>
    <hyperlink ref="W74" r:id="rId77" display="https://images10.newegg.com/ProductImageCompressAll300/22-179-103-S01.jpg?ex=2"/>
    <hyperlink ref="W75" r:id="rId78" display="https://www.newegg.com/Product/Product.aspx?item=N82E16822172026"/>
    <hyperlink ref="W72" r:id="rId79" display="https://www.newegg.com/Product/Product.aspx?item=N82E16822179100"/>
    <hyperlink ref="W71" r:id="rId80" display="https://www.newegg.com/Product/Product.aspx?item=N82E16822179101"/>
    <hyperlink ref="W70" r:id="rId81" display="https://www.newegg.com/Product/Product.aspx?item=N82E16822179102"/>
    <hyperlink ref="W68" r:id="rId82" display="https://www.newegg.com/Product/Product.aspx?item=N82E16822178997"/>
    <hyperlink ref="W69" r:id="rId83" display="https://www.newegg.com/Product/Product.aspx?Item=N82E16822172025&amp;utm_medium=Email&amp;utm_source=EXPRESS112517&amp;cm_mmc=EMC-EXPRESS112517-_-EMC-112517-Index-_-DesktopInternalHardDrives-_-22172025-S1A3A&amp;ignorebbr=1"/>
    <hyperlink ref="W67" r:id="rId84" display="http://www.newegg.com/Product/Product.aspx?Item=N82E16822179003&amp;utm_medium=Email&amp;utm_source=IGNEFL121417&amp;cm_mmc=EMC-IGNEFL121417-_-EMC-121417-Index-_-DesktopInternalHardDrives-_-22179003-S1A2B&amp;ignorebbr=1"/>
    <hyperlink ref="W66" r:id="rId85" display="https://www.newegg.com/Product/Product.aspx?item=N82E16822179004"/>
    <hyperlink ref="W65" r:id="rId86" display="http://www.newegg.com/Product/Product.aspx?Item=N82E16822179005&amp;utm_medium=Email&amp;utm_source=IGNEFL121917&amp;cm_mmc=EMC-IGNEFL121917-_-EMC-121917-Index-_-DesktopInternalHardDrives-_-22179005-S3A2D&amp;ignorebbr=1"/>
    <hyperlink ref="W64" r:id="rId87" display="https://www.newegg.com/Product/Product.aspx?item=N82E16822179006"/>
    <hyperlink ref="W62" r:id="rId88" display="https://www.newegg.com/Product/Product.aspx?item=N82E16822179008"/>
    <hyperlink ref="W14" r:id="rId89" display="https://www.newegg.com/Product/Product.aspx?item=N82E16822146076"/>
    <hyperlink ref="W12" r:id="rId90" display="https://www.newegg.com/Product/Product.aspx?item=N82E16822146071"/>
    <hyperlink ref="W11" r:id="rId91" display="https://www.newegg.com/Product/Product.aspx?item=N82E16822146067"/>
    <hyperlink ref="W13" r:id="rId92" display="https://www.newegg.com/Product/Product.aspx?Item=9SIA25V4XG7457&amp;cm_re=Ultrastar_7K6000_5tb-_-9SIA25V4XG7457-_-Product"/>
    <hyperlink ref="W118" r:id="rId93" display="https://www.newegg.com/Product/Product.aspx?Item=N82E16822235131&amp;cm_re=wd_gold_enterprise-_-22-235-131-_-Product"/>
    <hyperlink ref="W119" r:id="rId94" display="https://www.newegg.com/Product/Product.aspx?item=N82E16822232560"/>
    <hyperlink ref="W117" r:id="rId95" display="https://www.newegg.com/Product/Product.aspx?item=N82E16822232558"/>
    <hyperlink ref="W116" r:id="rId96" display="https://www.newegg.com/Product/Product.aspx?item=N82E16822235059"/>
    <hyperlink ref="W115" r:id="rId97" display="https://www.amazon.com/Gold-Enterprise-Class-Hard-Drive/dp/B01AV1697A?SubscriptionId=AKIAILSHYYTFIVPWUY6Q&amp;tag=duckduckgo-ffsb-20&amp;linkCode=xm2&amp;camp=2025&amp;creative=165953&amp;creativeASIN=B01AV1697A&amp;th=1"/>
    <hyperlink ref="W114" r:id="rId98" display="http://www.newegg.com/Product/Product.aspx?Item=1Z4-0002-002V0&amp;utm_medium=Email&amp;utm_source=IGNEFL112217&amp;cm_mmc=EMC-IGNEFL112217-_-EMC-112217-Index-_-DesktopInternalHardDrives-_-1Z4-0002-002V0-S1A1D&amp;ignorebbr=1"/>
    <hyperlink ref="W113" r:id="rId99" display="https://www.newegg.com/Product/Product.aspx?item=1Z4-0002-002U9"/>
    <hyperlink ref="W28" r:id="rId100" display="https://www.newegg.com/Product/Product.aspx?Item=N82E16822178993&amp;ignorebbr=1"/>
    <hyperlink ref="W4" r:id="rId101" display="https://www.newegg.com/Product/Product.aspx?Item=N82E16822146118&amp;utm_medium=Email&amp;utm_source=IGNEFL112117&amp;cm_mmc=EMC-IGNEFL112117-_-EMC-112117-Index-_-DesktopInternalHardDrives-_-22146118-S0G&amp;ignorebbr=1"/>
    <hyperlink ref="W25" r:id="rId102" display="https://www.newegg.com/Product/Product.aspx?item=N82E16822178750"/>
    <hyperlink ref="W26" r:id="rId103" display="https://www.amazon.com/Seagate-Archive-6GBps-128MB-ST8000AS0002/dp/B00XS423SC/ref=pd_sim_147_30?_encoding=UTF8&amp;psc=1&amp;refRID=FT0YK268QJANC6JV5911"/>
    <hyperlink ref="W24" r:id="rId104" display="https://www.newegg.com/Product/Product.aspx?item=9SIA4A04NB8762"/>
    <hyperlink ref="C24" r:id="rId105"/>
    <hyperlink ref="C25" r:id="rId106"/>
    <hyperlink ref="C26" r:id="rId107"/>
    <hyperlink ref="Q23" r:id="rId108" display="http://www.hgst.com/sites/default/files/resources/UltrastarHs14-SATA-OEMSpec-R1.0.pdf"/>
    <hyperlink ref="W6" r:id="rId109" display="https://www.newegg.com/Product/Product.aspx?Item=N82E16822146148&amp;ignorebbr=1"/>
    <hyperlink ref="W107" r:id="rId110" display="http://www.newegg.com/Product/Product.aspx?Item=N82E16822235013&amp;utm_medium=Email&amp;utm_source=IGNEFL122417&amp;cm_mmc=EMC-IGNEFL122417-_-EMC-122417-Index-_-DesktopInternalHardDrives-_-22235013-S2A2D&amp;ignorebbr=1"/>
    <hyperlink ref="W128" r:id="rId111" display="http://www.newegg.com/Product/Product.aspx?Item=N82E16822235063&amp;utm_medium=Email&amp;utm_source=IGNEFL121517&amp;cm_mmc=EMC-IGNEFL121517-_-EMC-121517-Index-_-DesktopInternalHardDrives-_-22235063-S1A3B&amp;ignorebbr=1"/>
    <hyperlink ref="W127" r:id="rId112" display="https://www.neweggbusiness.com/product/product.aspx?item=9B-22-236-737"/>
    <hyperlink ref="C9" r:id="rId113" display="Ultrastar 7K6"/>
    <hyperlink ref="C10" r:id="rId114" display="Ultrastar 7K6"/>
    <hyperlink ref="C9:C10" r:id="rId115" display="Ultrastar 7K200"/>
    <hyperlink ref="W20" r:id="rId116" display="https://www.amazon.com/HGST-HUH728080ALE600-SATA-7-2K-128M/dp/B00Q1IZJD8/ref=sr_1_fkmr1_3?ie=UTF8&amp;qid=1514248010&amp;sr=8-3-fkmr1&amp;keywords=hgst+hs14"/>
    <hyperlink ref="W21" r:id="rId117" display="https://www.newegg.com/Product/Product.aspx?Item=9SIA9945X11461&amp;cm_re=ultrastar_he12-_-9SIA9945X11461-_-Product"/>
    <hyperlink ref="W5" r:id="rId118" display="http://www.newegg.com/Product/Product.aspx?Item=N82E16822146148&amp;utm_medium=Email&amp;utm_source=IGNEFL120517&amp;cm_mmc=EMC-IGNEFL120517-_-EMC-120517-Index-_-DesktopInternalHardDrives-_-22146148-S1A1A&amp;ignorebbr=1"/>
    <hyperlink ref="W32" r:id="rId119" display="https://www.newegg.com/Product/Product.aspx?Item=N82E16822179107&amp;utm_medium=Email&amp;utm_source=IGNEFL112717&amp;cm_mmc=EMC-IGNEFL112717-_-EMC-112717-Index-_-LaptopInternalHardDrives-_-22179107-S1A1C&amp;ignorebbr=1"/>
    <hyperlink ref="W30" r:id="rId120" display="https://www.newegg.com/Product/Product.aspx?Item=N82E16822179009&amp;utm_medium=Email&amp;utm_source=IGNEFL112717&amp;cm_mmc=EMC-IGNEFL112717-_-EMC-112717-Index-_-DesktopInternalHardDrives-_-22179009-S1A2D&amp;ignorebbr=1"/>
    <hyperlink ref="W22" r:id="rId121" display="https://www.amazon.com/HGST-Drive-0F29562-72000RPM-Ultrastar/dp/B074JJVJ2N/ref=sr_1_2?ie=UTF8&amp;qid=1511815137&amp;sr=8-2&amp;keywords=he12+hgst"/>
    <hyperlink ref="W38" r:id="rId122" display="https://www.newegg.com/Product/Product.aspx?Item=22-179-002&amp;Tpk=22-179-002"/>
    <hyperlink ref="W39" r:id="rId123" display="https://www.newegg.com/Product/Product.aspx?Item=22-179-270&amp;Tpk=22-179-270"/>
    <hyperlink ref="W40" r:id="rId124" display="https://www.newegg.com/Product/Product.aspx?Item=22-178-998&amp;Tpk=22-178-998"/>
    <hyperlink ref="W41" r:id="rId125" display="https://www.newegg.com/Product/Product.aspx?Item=22-172-024&amp;Tpk=22-172-024"/>
    <hyperlink ref="C39:C41" r:id="rId126" display="BarraCuda Pro"/>
    <hyperlink ref="C36:C38" r:id="rId127" display="BarraCuda Pro"/>
    <hyperlink ref="W27" r:id="rId128" display="http://www.newegg.com/Product/Product.aspx?Item=N82E16822179010&amp;utm_medium=Email&amp;utm_source=IGNEFL113017&amp;cm_mmc=EMC-IGNEFL113017-_-EMC-113017-Index-_-DesktopInternalHardDrives-_-22179010-S2A1B&amp;ignorebbr=1"/>
    <hyperlink ref="W134" r:id="rId129" display="http://www.newegg.com/Product/Product.aspx?Item=N82E16822235120&amp;utm_medium=Email&amp;utm_source=IGNEFL120117&amp;cm_mmc=EMC-IGNEFL120117-_-EMC-120117-Index-_-DesktopInternalHardDrives-_-22235120-S1A1B&amp;ignorebbr=1"/>
    <hyperlink ref="W122" r:id="rId130" display="https://secure.neweggbusiness.com/new/shopping/shoppingcart.aspx"/>
    <hyperlink ref="W59" r:id="rId131" display="https://www.newegg.com/Product/ComboDealDetails.aspx?ItemList=Combo.3683690"/>
    <hyperlink ref="W101" r:id="rId132" display="https://www.newegg.com/Product/Product.aspx?Item=N82E16822235089&amp;utm_medium=Email&amp;utm_source=EXPRESS122317&amp;cm_mmc=EMC-EXPRESS122317-_-EMC-122317-Index-_-LaptopInternalHardDrives-_-22235089-S0F&amp;ignorebbr=1"/>
    <hyperlink ref="W123" r:id="rId133" display="https://www.neweggbusiness.com/product/product.aspx?item=9B-22-236-343"/>
    <hyperlink ref="W109" r:id="rId134" display="https://www.newegg.com/Product/Product.aspx?Item=N82E16822235011&amp;ignorebbr=1"/>
    <hyperlink ref="W98" r:id="rId135" display="https://www.newegg.com/Product/Product.aspx?Item=N82E16822149629&amp;ignorebbr=1"/>
    <hyperlink ref="W53" r:id="rId136" display="https://www.newegg.com/Product/Product.aspx?item=1Z4-002P-00139"/>
    <hyperlink ref="W54" r:id="rId137" display="https://www.newegg.com/Product/Product.aspx?item=1Z4-002P-000N0"/>
    <hyperlink ref="W52" r:id="rId138" display="https://www.newegg.com/Product/Product.aspx?item=N82E16822179057"/>
    <hyperlink ref="W51" r:id="rId139" display="https://www.newegg.com/Product/Product.aspx?item=1Z4-002P-00143"/>
    <hyperlink ref="W37" r:id="rId140" display="https://www.newegg.com/Product/Product.aspx?Item=22-179-129&amp;Tpk=22-179-129"/>
    <hyperlink ref="W78" r:id="rId141" display="https://www.newegg.com/Product/Product.aspx?Item=22-149-407&amp;utm_medium=Email&amp;utm_source=GD010318&amp;cm_mmc=EMC-GD010318-_-landing-_-Item-_-22-149-407"/>
    <hyperlink ref="W77" r:id="rId142" display="https://www.newegg.com/Product/Product.aspx?item=N82E16822149382"/>
    <hyperlink ref="W79" r:id="rId143" display="https://www.newegg.com/Product/Product.aspx?item=N82E16822149408"/>
    <hyperlink ref="C85" r:id="rId144"/>
    <hyperlink ref="C85:C86" r:id="rId145" display="Enterprise Performance"/>
    <hyperlink ref="C88" r:id="rId146"/>
    <hyperlink ref="C83" r:id="rId147"/>
    <hyperlink ref="C84" r:id="rId148"/>
    <hyperlink ref="AD83" r:id="rId149"/>
    <hyperlink ref="AD84" r:id="rId150"/>
    <hyperlink ref="W86" r:id="rId151" display="https://www.newegg.com/Product/Product.aspx?Item=9SIA5EM5NM4177"/>
    <hyperlink ref="W85" r:id="rId152" display="https://www.newegg.com/Product/Product.aspx?Item=9SIAEF26771390"/>
    <hyperlink ref="W29" r:id="rId153" display="https://www.newegg.com/Product/Product.aspx?Item=N82E16822178994&amp;ignorebbr=1"/>
    <hyperlink ref="W81" r:id="rId154" display="https://www.newegg.com/Product/Product.aspx?Item=1Z4-002P-000N0&amp;ignorebbr=1"/>
    <hyperlink ref="W57" r:id="rId155" display="https://www.amazon.com/Seagate-Enterprise-Capacity-ST12000NM0007-7200RPM/dp/B0759Q9FXZ/ref=sr_1_fkmr0_3?ie=UTF8&amp;qid=1513037781&amp;sr=8-3-fkmr0&amp;keywords=toshiba+12tb"/>
    <hyperlink ref="W129" r:id="rId156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97" r:id="rId157" display="http://www.newegg.com/Product/Product.aspx?Item=N82E16822149628&amp;utm_medium=Email&amp;utm_source=IGNEFL121417&amp;cm_mmc=EMC-IGNEFL121417-_-EMC-121417-Index-_-DesktopInternalHardDrives-_-22149628-S1A1C&amp;ignorebbr=1"/>
    <hyperlink ref="W36" r:id="rId158" display="https://www.newegg.com/Product/Product.aspx?Item=22-179-130&amp;Tpk=22-179-130"/>
    <hyperlink ref="W133" r:id="rId159" display="http://www.newegg.com/Product/Product.aspx?Item=N82E16822235065&amp;utm_medium=Email&amp;utm_source=IGNEFL121517&amp;cm_mmc=EMC-IGNEFL121517-_-EMC-121517-Index-_-DesktopInternalHardDrives-_-22235065-S1A3A&amp;ignorebbr=1"/>
    <hyperlink ref="W61" r:id="rId160" display="http://www.newegg.com/Product/Product.aspx?Item=N82E16822179110&amp;utm_medium=Email&amp;utm_source=IGNEFL121917&amp;cm_mmc=EMC-IGNEFL121917-_-EMC-121917-Index-_-LaptopInternalHardDrives-_-22179110-S2A3A&amp;ignorebbr=1"/>
    <hyperlink ref="W93" r:id="rId161" display="https://www.newegg.com/Product/Product.aspx?Item=22-149-631&amp;Tpk=22-149-631"/>
    <hyperlink ref="W94" r:id="rId162" display="https://www.newegg.com/Product/Product.aspx?Item=22-149-632&amp;Tpk=22-149-632"/>
    <hyperlink ref="W95" r:id="rId163" display="https://www.newegg.com/Product/Product.aspx?Item=22-149-633&amp;Tpk=22-149-633"/>
    <hyperlink ref="C87" r:id="rId164"/>
    <hyperlink ref="W10" r:id="rId165" display="https://www.ebay.com/itm/HGST-Deskstar-7K2000-HDS722020ALA330-2TB-SATA-3-5-Internal-Hard-Drive/201826555832?epid=170151221&amp;hash=item2efdccd7b8:m:mvS_lQfe070JKO8PGvJJ9vw"/>
    <hyperlink ref="W9" r:id="rId166" display="https://www.ebay.com/itm/Hitachi-Ultrastar-HDD-1-0TB-7200RPM-32MB-SATA2-A7K2000-3-5-Desktop-Hard-Drive/261814211120?hash=item3cf557d230:g:K7kAAOSw34FVBxdH"/>
    <hyperlink ref="W34" r:id="rId167" display="https://www.newegg.com/Product/Product.aspx?Item=22-179-009&amp;utm_medium=Email&amp;utm_source=GD010318&amp;cm_mmc=EMC-GD010318-_-landing-_-Item-_-22-179-009"/>
  </hyperlinks>
  <printOptions headings="1"/>
  <pageMargins left="0.3" right="0.3" top="0.75" bottom="0.75" header="0.3" footer="0.3"/>
  <pageSetup scale="42" fitToHeight="4" orientation="landscape" r:id="rId168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68 Q132 Q136:Q139" formula="1"/>
  </ignoredErrors>
  <drawing r:id="rId169"/>
  <legacyDrawing r:id="rId170"/>
  <tableParts count="1">
    <tablePart r:id="rId17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E95" sqref="E95"/>
    </sheetView>
  </sheetViews>
  <sheetFormatPr defaultRowHeight="15" x14ac:dyDescent="0.25"/>
  <cols>
    <col min="1" max="1" width="15.42578125" customWidth="1"/>
    <col min="2" max="2" width="19.57031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89" t="s">
        <v>49</v>
      </c>
      <c r="B2" s="90" t="s">
        <v>50</v>
      </c>
    </row>
    <row r="3" spans="1:4" x14ac:dyDescent="0.25">
      <c r="A3" s="89" t="s">
        <v>87</v>
      </c>
      <c r="B3" s="109">
        <v>3.5</v>
      </c>
    </row>
    <row r="4" spans="1:4" x14ac:dyDescent="0.25">
      <c r="A4" s="228" t="s">
        <v>84</v>
      </c>
      <c r="B4" s="229"/>
    </row>
    <row r="5" spans="1:4" x14ac:dyDescent="0.25">
      <c r="A5" s="93" t="s">
        <v>78</v>
      </c>
      <c r="B5" s="94" t="s">
        <v>82</v>
      </c>
    </row>
    <row r="6" spans="1:4" x14ac:dyDescent="0.25">
      <c r="A6" s="92">
        <v>0.9</v>
      </c>
      <c r="B6" s="91">
        <v>0</v>
      </c>
    </row>
    <row r="7" spans="1:4" x14ac:dyDescent="0.25">
      <c r="A7" s="92">
        <v>1</v>
      </c>
      <c r="B7" s="91">
        <v>12.597520000000001</v>
      </c>
    </row>
    <row r="8" spans="1:4" x14ac:dyDescent="0.25">
      <c r="A8" s="92">
        <v>2</v>
      </c>
      <c r="B8" s="91">
        <v>14.02995111111111</v>
      </c>
    </row>
    <row r="9" spans="1:4" x14ac:dyDescent="0.25">
      <c r="A9" s="92">
        <v>3</v>
      </c>
      <c r="B9" s="91">
        <v>7.9291866666666655</v>
      </c>
    </row>
    <row r="10" spans="1:4" x14ac:dyDescent="0.25">
      <c r="A10" s="92">
        <v>4</v>
      </c>
      <c r="B10" s="91">
        <v>8.613139444444446</v>
      </c>
      <c r="D10" s="87"/>
    </row>
    <row r="11" spans="1:4" x14ac:dyDescent="0.25">
      <c r="A11" s="92">
        <v>5</v>
      </c>
      <c r="B11" s="91">
        <v>12.032</v>
      </c>
    </row>
    <row r="12" spans="1:4" x14ac:dyDescent="0.25">
      <c r="A12" s="92">
        <v>6</v>
      </c>
      <c r="B12" s="91">
        <v>7.5875424242424234</v>
      </c>
    </row>
    <row r="13" spans="1:4" x14ac:dyDescent="0.25">
      <c r="A13" s="92">
        <v>8</v>
      </c>
      <c r="B13" s="91">
        <v>6.678903</v>
      </c>
    </row>
    <row r="14" spans="1:4" x14ac:dyDescent="0.25">
      <c r="A14" s="92">
        <v>10</v>
      </c>
      <c r="B14" s="91">
        <v>6.5982890000000003</v>
      </c>
    </row>
    <row r="15" spans="1:4" x14ac:dyDescent="0.25">
      <c r="A15" s="92">
        <v>12</v>
      </c>
      <c r="B15" s="91">
        <v>7.2396883333333335</v>
      </c>
    </row>
    <row r="16" spans="1:4" x14ac:dyDescent="0.25">
      <c r="A16" s="92">
        <v>14</v>
      </c>
      <c r="B16" s="91">
        <v>0</v>
      </c>
    </row>
    <row r="17" spans="1:2" x14ac:dyDescent="0.25">
      <c r="A17" s="95" t="s">
        <v>83</v>
      </c>
      <c r="B17" s="91">
        <v>8.7041807230769219</v>
      </c>
    </row>
    <row r="20" spans="1:2" x14ac:dyDescent="0.25">
      <c r="A20" s="89" t="s">
        <v>49</v>
      </c>
      <c r="B20" s="90" t="s">
        <v>50</v>
      </c>
    </row>
    <row r="21" spans="1:2" x14ac:dyDescent="0.25">
      <c r="A21" s="89" t="s">
        <v>87</v>
      </c>
      <c r="B21" s="109">
        <v>3.5</v>
      </c>
    </row>
    <row r="22" spans="1:2" x14ac:dyDescent="0.25">
      <c r="A22" s="233" t="s">
        <v>91</v>
      </c>
      <c r="B22" s="234"/>
    </row>
    <row r="23" spans="1:2" x14ac:dyDescent="0.25">
      <c r="A23" s="89" t="s">
        <v>78</v>
      </c>
      <c r="B23" s="90" t="s">
        <v>85</v>
      </c>
    </row>
    <row r="24" spans="1:2" x14ac:dyDescent="0.25">
      <c r="A24" s="92">
        <v>0.9</v>
      </c>
      <c r="B24" s="98">
        <v>7.4021973333333335</v>
      </c>
    </row>
    <row r="25" spans="1:2" x14ac:dyDescent="0.25">
      <c r="A25" s="92">
        <v>1</v>
      </c>
      <c r="B25" s="98">
        <v>5.0538258800000007</v>
      </c>
    </row>
    <row r="26" spans="1:2" x14ac:dyDescent="0.25">
      <c r="A26" s="92">
        <v>2</v>
      </c>
      <c r="B26" s="98">
        <v>2.9192415733333337</v>
      </c>
    </row>
    <row r="27" spans="1:2" x14ac:dyDescent="0.25">
      <c r="A27" s="92">
        <v>3</v>
      </c>
      <c r="B27" s="98">
        <v>1.789676</v>
      </c>
    </row>
    <row r="28" spans="1:2" x14ac:dyDescent="0.25">
      <c r="A28" s="92">
        <v>4</v>
      </c>
      <c r="B28" s="98">
        <v>1.6106475266666669</v>
      </c>
    </row>
    <row r="29" spans="1:2" x14ac:dyDescent="0.25">
      <c r="A29" s="92">
        <v>5</v>
      </c>
      <c r="B29" s="98">
        <v>1.23597216</v>
      </c>
    </row>
    <row r="30" spans="1:2" x14ac:dyDescent="0.25">
      <c r="A30" s="92">
        <v>6</v>
      </c>
      <c r="B30" s="98">
        <v>1.1997469927272728</v>
      </c>
    </row>
    <row r="31" spans="1:2" x14ac:dyDescent="0.25">
      <c r="A31" s="92">
        <v>8</v>
      </c>
      <c r="B31" s="98">
        <v>0.85959234000000007</v>
      </c>
    </row>
    <row r="32" spans="1:2" x14ac:dyDescent="0.25">
      <c r="A32" s="92">
        <v>10</v>
      </c>
      <c r="B32" s="98">
        <v>0.57497907000000004</v>
      </c>
    </row>
    <row r="33" spans="1:2" x14ac:dyDescent="0.25">
      <c r="A33" s="92">
        <v>12</v>
      </c>
      <c r="B33" s="98">
        <v>0.42246093333333334</v>
      </c>
    </row>
    <row r="34" spans="1:2" x14ac:dyDescent="0.25">
      <c r="A34" s="92">
        <v>14</v>
      </c>
      <c r="B34" s="98">
        <v>0</v>
      </c>
    </row>
    <row r="35" spans="1:2" x14ac:dyDescent="0.25">
      <c r="A35" s="109" t="s">
        <v>86</v>
      </c>
      <c r="B35" s="98">
        <v>1.7464070502020204</v>
      </c>
    </row>
    <row r="38" spans="1:2" x14ac:dyDescent="0.25">
      <c r="A38" s="89" t="s">
        <v>49</v>
      </c>
      <c r="B38" s="90" t="s">
        <v>50</v>
      </c>
    </row>
    <row r="39" spans="1:2" x14ac:dyDescent="0.25">
      <c r="A39" s="89" t="s">
        <v>87</v>
      </c>
      <c r="B39" s="109">
        <v>3.5</v>
      </c>
    </row>
    <row r="40" spans="1:2" x14ac:dyDescent="0.25">
      <c r="A40" s="231" t="s">
        <v>93</v>
      </c>
      <c r="B40" s="232"/>
    </row>
    <row r="41" spans="1:2" x14ac:dyDescent="0.25">
      <c r="A41" s="89" t="s">
        <v>78</v>
      </c>
      <c r="B41" s="90" t="s">
        <v>92</v>
      </c>
    </row>
    <row r="42" spans="1:2" x14ac:dyDescent="0.25">
      <c r="A42" s="92">
        <v>0.9</v>
      </c>
      <c r="B42" s="98">
        <v>6.6619776000000002</v>
      </c>
    </row>
    <row r="43" spans="1:2" x14ac:dyDescent="0.25">
      <c r="A43" s="92">
        <v>1</v>
      </c>
      <c r="B43" s="98">
        <v>5.0538258800000007</v>
      </c>
    </row>
    <row r="44" spans="1:2" x14ac:dyDescent="0.25">
      <c r="A44" s="92">
        <v>2</v>
      </c>
      <c r="B44" s="98">
        <v>5.8384831466666673</v>
      </c>
    </row>
    <row r="45" spans="1:2" x14ac:dyDescent="0.25">
      <c r="A45" s="92">
        <v>3</v>
      </c>
      <c r="B45" s="98">
        <v>5.3690280000000001</v>
      </c>
    </row>
    <row r="46" spans="1:2" x14ac:dyDescent="0.25">
      <c r="A46" s="92">
        <v>4</v>
      </c>
      <c r="B46" s="98">
        <v>6.4425901066666675</v>
      </c>
    </row>
    <row r="47" spans="1:2" x14ac:dyDescent="0.25">
      <c r="A47" s="92">
        <v>5</v>
      </c>
      <c r="B47" s="98">
        <v>6.1798608000000002</v>
      </c>
    </row>
    <row r="48" spans="1:2" x14ac:dyDescent="0.25">
      <c r="A48" s="92">
        <v>6</v>
      </c>
      <c r="B48" s="98">
        <v>7.1984819563636364</v>
      </c>
    </row>
    <row r="49" spans="1:3" x14ac:dyDescent="0.25">
      <c r="A49" s="92">
        <v>8</v>
      </c>
      <c r="B49" s="98">
        <v>6.8767387200000005</v>
      </c>
    </row>
    <row r="50" spans="1:3" x14ac:dyDescent="0.25">
      <c r="A50" s="92">
        <v>10</v>
      </c>
      <c r="B50" s="98">
        <v>5.7497907000000001</v>
      </c>
    </row>
    <row r="51" spans="1:3" x14ac:dyDescent="0.25">
      <c r="A51" s="92">
        <v>12</v>
      </c>
      <c r="B51" s="98">
        <v>5.0695312000000001</v>
      </c>
    </row>
    <row r="52" spans="1:3" x14ac:dyDescent="0.25">
      <c r="A52" s="92">
        <v>14</v>
      </c>
      <c r="B52" s="98">
        <v>0</v>
      </c>
    </row>
    <row r="53" spans="1:3" x14ac:dyDescent="0.25">
      <c r="A53" s="109" t="s">
        <v>86</v>
      </c>
      <c r="B53" s="98">
        <v>6.0658727163636357</v>
      </c>
    </row>
    <row r="57" spans="1:3" x14ac:dyDescent="0.25">
      <c r="A57" s="96" t="s">
        <v>49</v>
      </c>
      <c r="B57" t="s">
        <v>50</v>
      </c>
    </row>
    <row r="58" spans="1:3" x14ac:dyDescent="0.25">
      <c r="A58" s="96" t="s">
        <v>87</v>
      </c>
      <c r="B58" s="97">
        <v>3.5</v>
      </c>
      <c r="C58" s="108"/>
    </row>
    <row r="59" spans="1:3" x14ac:dyDescent="0.25">
      <c r="A59" s="230" t="s">
        <v>96</v>
      </c>
      <c r="B59" s="230"/>
    </row>
    <row r="60" spans="1:3" x14ac:dyDescent="0.25">
      <c r="A60" s="96" t="s">
        <v>78</v>
      </c>
      <c r="B60" t="s">
        <v>95</v>
      </c>
    </row>
    <row r="61" spans="1:3" x14ac:dyDescent="0.25">
      <c r="A61" s="110">
        <v>5400</v>
      </c>
      <c r="B61" s="83">
        <v>48.043892291666666</v>
      </c>
    </row>
    <row r="62" spans="1:3" x14ac:dyDescent="0.25">
      <c r="A62" s="111" t="s">
        <v>6</v>
      </c>
      <c r="B62" s="83">
        <v>48.043892291666666</v>
      </c>
    </row>
    <row r="63" spans="1:3" x14ac:dyDescent="0.25">
      <c r="A63" s="110">
        <v>5760</v>
      </c>
      <c r="B63" s="83">
        <v>32.531300000000002</v>
      </c>
    </row>
    <row r="64" spans="1:3" x14ac:dyDescent="0.25">
      <c r="A64" s="111" t="s">
        <v>6</v>
      </c>
      <c r="B64" s="83">
        <v>32.531300000000002</v>
      </c>
    </row>
    <row r="65" spans="1:2" x14ac:dyDescent="0.25">
      <c r="A65" s="110">
        <v>5900</v>
      </c>
      <c r="B65" s="83">
        <v>50.929306666666662</v>
      </c>
    </row>
    <row r="66" spans="1:2" x14ac:dyDescent="0.25">
      <c r="A66" s="111" t="s">
        <v>10</v>
      </c>
      <c r="B66" s="83">
        <v>50.929306666666662</v>
      </c>
    </row>
    <row r="67" spans="1:2" x14ac:dyDescent="0.25">
      <c r="A67" s="110">
        <v>7200</v>
      </c>
      <c r="B67" s="83">
        <v>43.389054787878791</v>
      </c>
    </row>
    <row r="68" spans="1:2" x14ac:dyDescent="0.25">
      <c r="A68" s="111" t="s">
        <v>15</v>
      </c>
      <c r="B68" s="83">
        <v>45.025666666666666</v>
      </c>
    </row>
    <row r="69" spans="1:2" x14ac:dyDescent="0.25">
      <c r="A69" s="111" t="s">
        <v>10</v>
      </c>
      <c r="B69" s="83">
        <v>47.031860250000008</v>
      </c>
    </row>
    <row r="70" spans="1:2" x14ac:dyDescent="0.25">
      <c r="A70" s="111" t="s">
        <v>42</v>
      </c>
      <c r="B70" s="83">
        <v>24.625892708333335</v>
      </c>
    </row>
    <row r="71" spans="1:2" x14ac:dyDescent="0.25">
      <c r="A71" s="111" t="s">
        <v>6</v>
      </c>
      <c r="B71" s="83">
        <v>47.568794871794871</v>
      </c>
    </row>
    <row r="72" spans="1:2" x14ac:dyDescent="0.25">
      <c r="A72" s="110">
        <v>15000</v>
      </c>
      <c r="B72" s="83">
        <v>0</v>
      </c>
    </row>
    <row r="73" spans="1:2" x14ac:dyDescent="0.25">
      <c r="A73" s="111" t="s">
        <v>10</v>
      </c>
      <c r="B73" s="83">
        <v>0</v>
      </c>
    </row>
    <row r="74" spans="1:2" x14ac:dyDescent="0.25">
      <c r="A74" s="110" t="s">
        <v>94</v>
      </c>
      <c r="B74" s="83">
        <v>43.684671214285707</v>
      </c>
    </row>
    <row r="77" spans="1:2" x14ac:dyDescent="0.25">
      <c r="A77" s="96" t="s">
        <v>49</v>
      </c>
      <c r="B77" t="s">
        <v>50</v>
      </c>
    </row>
    <row r="78" spans="1:2" x14ac:dyDescent="0.25">
      <c r="A78" s="96" t="s">
        <v>87</v>
      </c>
      <c r="B78" s="97">
        <v>3.5</v>
      </c>
    </row>
    <row r="79" spans="1:2" x14ac:dyDescent="0.25">
      <c r="A79" s="96" t="s">
        <v>1</v>
      </c>
      <c r="B79" t="s">
        <v>121</v>
      </c>
    </row>
    <row r="80" spans="1:2" x14ac:dyDescent="0.25">
      <c r="A80" s="96" t="s">
        <v>59</v>
      </c>
      <c r="B80" t="s">
        <v>103</v>
      </c>
    </row>
    <row r="82" spans="1:2" x14ac:dyDescent="0.25">
      <c r="A82" s="96" t="s">
        <v>78</v>
      </c>
      <c r="B82" t="s">
        <v>102</v>
      </c>
    </row>
    <row r="83" spans="1:2" x14ac:dyDescent="0.25">
      <c r="A83" s="97">
        <v>1</v>
      </c>
      <c r="B83" s="117">
        <v>14.399999999999999</v>
      </c>
    </row>
    <row r="84" spans="1:2" x14ac:dyDescent="0.25">
      <c r="A84" s="118">
        <v>5400</v>
      </c>
      <c r="B84" s="117">
        <v>14.399999999999999</v>
      </c>
    </row>
    <row r="85" spans="1:2" x14ac:dyDescent="0.25">
      <c r="A85" s="118">
        <v>5900</v>
      </c>
      <c r="B85" s="117">
        <v>14.399999999999999</v>
      </c>
    </row>
    <row r="86" spans="1:2" x14ac:dyDescent="0.25">
      <c r="A86" s="97">
        <v>2</v>
      </c>
      <c r="B86" s="117">
        <v>22.89</v>
      </c>
    </row>
    <row r="87" spans="1:2" x14ac:dyDescent="0.25">
      <c r="A87" s="118">
        <v>5400</v>
      </c>
      <c r="B87" s="117">
        <v>20.759999999999998</v>
      </c>
    </row>
    <row r="88" spans="1:2" x14ac:dyDescent="0.25">
      <c r="A88" s="118">
        <v>5900</v>
      </c>
      <c r="B88" s="117">
        <v>24</v>
      </c>
    </row>
    <row r="89" spans="1:2" x14ac:dyDescent="0.25">
      <c r="A89" s="118">
        <v>7200</v>
      </c>
      <c r="B89" s="117">
        <v>23.4</v>
      </c>
    </row>
    <row r="90" spans="1:2" x14ac:dyDescent="0.25">
      <c r="A90" s="97">
        <v>3</v>
      </c>
      <c r="B90" s="117">
        <v>22.52</v>
      </c>
    </row>
    <row r="91" spans="1:2" x14ac:dyDescent="0.25">
      <c r="A91" s="118">
        <v>5400</v>
      </c>
      <c r="B91" s="117">
        <v>20.759999999999998</v>
      </c>
    </row>
    <row r="92" spans="1:2" x14ac:dyDescent="0.25">
      <c r="A92" s="118">
        <v>5900</v>
      </c>
      <c r="B92" s="117">
        <v>24</v>
      </c>
    </row>
    <row r="93" spans="1:2" x14ac:dyDescent="0.25">
      <c r="A93" s="118">
        <v>7200</v>
      </c>
      <c r="B93" s="117">
        <v>22.799999999999997</v>
      </c>
    </row>
    <row r="94" spans="1:2" x14ac:dyDescent="0.25">
      <c r="A94" s="97">
        <v>4</v>
      </c>
      <c r="B94" s="117">
        <v>23.679999999999996</v>
      </c>
    </row>
    <row r="95" spans="1:2" x14ac:dyDescent="0.25">
      <c r="A95" s="118">
        <v>5400</v>
      </c>
      <c r="B95" s="117">
        <v>21</v>
      </c>
    </row>
    <row r="96" spans="1:2" x14ac:dyDescent="0.25">
      <c r="A96" s="118">
        <v>5900</v>
      </c>
      <c r="B96" s="117">
        <v>22.8</v>
      </c>
    </row>
    <row r="97" spans="1:2" x14ac:dyDescent="0.25">
      <c r="A97" s="118">
        <v>7200</v>
      </c>
      <c r="B97" s="117">
        <v>25.16</v>
      </c>
    </row>
    <row r="98" spans="1:2" x14ac:dyDescent="0.25">
      <c r="A98" s="97">
        <v>5</v>
      </c>
      <c r="B98" s="117">
        <v>21</v>
      </c>
    </row>
    <row r="99" spans="1:2" x14ac:dyDescent="0.25">
      <c r="A99" s="118">
        <v>5400</v>
      </c>
      <c r="B99" s="117">
        <v>21</v>
      </c>
    </row>
    <row r="100" spans="1:2" x14ac:dyDescent="0.25">
      <c r="A100" s="97">
        <v>6</v>
      </c>
      <c r="B100" s="117">
        <v>23.616000000000003</v>
      </c>
    </row>
    <row r="101" spans="1:2" x14ac:dyDescent="0.25">
      <c r="A101" s="118">
        <v>5400</v>
      </c>
      <c r="B101" s="117">
        <v>21</v>
      </c>
    </row>
    <row r="102" spans="1:2" x14ac:dyDescent="0.25">
      <c r="A102" s="118">
        <v>5760</v>
      </c>
      <c r="B102" s="117"/>
    </row>
    <row r="103" spans="1:2" x14ac:dyDescent="0.25">
      <c r="A103" s="118">
        <v>7200</v>
      </c>
      <c r="B103" s="117">
        <v>24.270000000000003</v>
      </c>
    </row>
    <row r="104" spans="1:2" x14ac:dyDescent="0.25">
      <c r="A104" s="97">
        <v>8</v>
      </c>
      <c r="B104" s="117">
        <v>23.712</v>
      </c>
    </row>
    <row r="105" spans="1:2" x14ac:dyDescent="0.25">
      <c r="A105" s="118">
        <v>5400</v>
      </c>
      <c r="B105" s="117">
        <v>21.48</v>
      </c>
    </row>
    <row r="106" spans="1:2" x14ac:dyDescent="0.25">
      <c r="A106" s="118">
        <v>7200</v>
      </c>
      <c r="B106" s="117">
        <v>24.270000000000003</v>
      </c>
    </row>
    <row r="107" spans="1:2" x14ac:dyDescent="0.25">
      <c r="A107" s="97">
        <v>10</v>
      </c>
      <c r="B107" s="117">
        <v>23.736000000000001</v>
      </c>
    </row>
    <row r="108" spans="1:2" x14ac:dyDescent="0.25">
      <c r="A108" s="118">
        <v>5400</v>
      </c>
      <c r="B108" s="117">
        <v>21.48</v>
      </c>
    </row>
    <row r="109" spans="1:2" x14ac:dyDescent="0.25">
      <c r="A109" s="118">
        <v>7200</v>
      </c>
      <c r="B109" s="117">
        <v>24.299999999999997</v>
      </c>
    </row>
    <row r="110" spans="1:2" x14ac:dyDescent="0.25">
      <c r="A110" s="97">
        <v>12</v>
      </c>
      <c r="B110" s="117">
        <v>22.8</v>
      </c>
    </row>
    <row r="111" spans="1:2" x14ac:dyDescent="0.25">
      <c r="A111" s="118">
        <v>7200</v>
      </c>
      <c r="B111" s="117">
        <v>22.8</v>
      </c>
    </row>
    <row r="112" spans="1:2" x14ac:dyDescent="0.25">
      <c r="A112" s="97" t="s">
        <v>94</v>
      </c>
      <c r="B112" s="117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120</v>
      </c>
    </row>
    <row r="18" spans="1:1" x14ac:dyDescent="0.25">
      <c r="A18" t="s">
        <v>77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49</v>
      </c>
      <c r="E1" s="9" t="s">
        <v>27</v>
      </c>
      <c r="F1" s="63" t="s">
        <v>7</v>
      </c>
      <c r="G1" s="9" t="s">
        <v>65</v>
      </c>
      <c r="H1" s="9" t="s">
        <v>67</v>
      </c>
      <c r="I1" s="35" t="s">
        <v>64</v>
      </c>
      <c r="J1" s="64" t="s">
        <v>63</v>
      </c>
      <c r="K1" s="35" t="s">
        <v>26</v>
      </c>
      <c r="L1" s="24" t="s">
        <v>62</v>
      </c>
      <c r="M1" s="24" t="s">
        <v>61</v>
      </c>
      <c r="N1" s="24" t="s">
        <v>59</v>
      </c>
      <c r="O1" s="34" t="s">
        <v>60</v>
      </c>
      <c r="P1" s="36" t="s">
        <v>36</v>
      </c>
      <c r="Q1" s="24" t="s">
        <v>8</v>
      </c>
      <c r="R1" s="24" t="s">
        <v>9</v>
      </c>
      <c r="S1" s="37" t="s">
        <v>31</v>
      </c>
      <c r="T1" s="35" t="s">
        <v>2</v>
      </c>
      <c r="U1" s="37" t="s">
        <v>3</v>
      </c>
      <c r="V1" s="36" t="s">
        <v>33</v>
      </c>
      <c r="W1" s="24" t="s">
        <v>48</v>
      </c>
      <c r="X1" s="37" t="s">
        <v>20</v>
      </c>
      <c r="Y1" s="35" t="s">
        <v>32</v>
      </c>
      <c r="Z1" s="24" t="s">
        <v>21</v>
      </c>
      <c r="AA1" s="24" t="s">
        <v>47</v>
      </c>
      <c r="AB1" s="11" t="s">
        <v>41</v>
      </c>
    </row>
    <row r="2" spans="1:28" ht="15.75" thickTop="1" x14ac:dyDescent="0.25">
      <c r="D2" s="81" t="s">
        <v>50</v>
      </c>
      <c r="E2" s="82">
        <v>10</v>
      </c>
      <c r="T2" t="s">
        <v>71</v>
      </c>
    </row>
    <row r="4" spans="1:28" x14ac:dyDescent="0.25">
      <c r="A4" s="83">
        <f>DVAR('Drive Table'!$A$2:$AD$135,"Cost",$A$1:$AB$2)</f>
        <v>1771.6672125000539</v>
      </c>
      <c r="B4" t="s">
        <v>76</v>
      </c>
    </row>
    <row r="5" spans="1:28" x14ac:dyDescent="0.25">
      <c r="A5" s="83">
        <f>DAVERAGE('Drive Table'!$A$2:$AD$135,"Cost",$A$1:$AB$2)</f>
        <v>358.08874999999995</v>
      </c>
      <c r="B5" t="s">
        <v>72</v>
      </c>
    </row>
    <row r="6" spans="1:28" x14ac:dyDescent="0.25">
      <c r="A6" s="83">
        <f>DMIN('Drive Table'!$A$2:$AD$135,"Cost",$A$1:$AB$2)</f>
        <v>299.99</v>
      </c>
      <c r="B6" t="s">
        <v>73</v>
      </c>
    </row>
    <row r="7" spans="1:28" x14ac:dyDescent="0.25">
      <c r="A7" s="83">
        <f>DMAX('Drive Table'!$A$2:$AD$135,"Cost",$A$1:$AB$2)</f>
        <v>440.77</v>
      </c>
      <c r="B7" t="s">
        <v>74</v>
      </c>
    </row>
    <row r="8" spans="1:28" x14ac:dyDescent="0.25">
      <c r="A8">
        <f>DCOUNTA('Drive Table'!$A$2:$AD$135,"Cost",$A$1:$AB$2)</f>
        <v>8</v>
      </c>
      <c r="B8" t="s">
        <v>75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2018-01-03T08:40:32Z</dcterms:modified>
</cp:coreProperties>
</file>