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Table'!$D$136</definedName>
    <definedName name="CompareWarrYrs">'Drive Table'!$D$137</definedName>
    <definedName name="CostPerKWH">'Drive Table'!$D$135</definedName>
    <definedName name="Day_in_Year">'Drive Table'!$D$143</definedName>
    <definedName name="Days_In_Month">'Drive Table'!$D$142</definedName>
    <definedName name="Days_in_Year">'Drive Table'!$D$143</definedName>
    <definedName name="Exchange_Rate">'Drive Table'!$D$145</definedName>
    <definedName name="Hours_In_Day">'Drive Table'!$D$140</definedName>
    <definedName name="Hours_In_Month">'Drive Table'!$D$141</definedName>
    <definedName name="Incremental_Warr_Yr">'Drive Table'!$D$138</definedName>
    <definedName name="Months_In_Year">'Drive Table'!$D$144</definedName>
    <definedName name="Power_On_Hours_Year">'Drive Table'!$D$139</definedName>
    <definedName name="_xlnm.Print_Titles" localSheetId="0">'Drive Table'!$1:$2</definedName>
  </definedNames>
  <calcPr calcId="152511"/>
  <pivotCaches>
    <pivotCache cacheId="6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1" i="1" l="1"/>
  <c r="U24" i="1"/>
  <c r="V24" i="1" s="1"/>
  <c r="U23" i="1"/>
  <c r="V23" i="1" s="1"/>
  <c r="U22" i="1"/>
  <c r="V22" i="1" s="1"/>
  <c r="P22" i="1"/>
  <c r="P23" i="1"/>
  <c r="P24" i="1"/>
  <c r="P3" i="1"/>
  <c r="P4" i="1"/>
  <c r="P5" i="1"/>
  <c r="P6" i="1"/>
  <c r="P25" i="1"/>
  <c r="P26" i="1"/>
  <c r="P27" i="1"/>
  <c r="P28" i="1"/>
  <c r="P29" i="1"/>
  <c r="P30" i="1"/>
  <c r="P31" i="1"/>
  <c r="P32" i="1"/>
  <c r="P33" i="1"/>
  <c r="P43" i="1"/>
  <c r="P60" i="1"/>
  <c r="P61" i="1"/>
  <c r="P62" i="1"/>
  <c r="P6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10" i="1"/>
  <c r="P111" i="1"/>
  <c r="P112" i="1"/>
  <c r="P113" i="1"/>
  <c r="P114" i="1"/>
  <c r="P115" i="1"/>
  <c r="P116" i="1"/>
  <c r="P117" i="1"/>
  <c r="P118" i="1"/>
  <c r="P119" i="1"/>
  <c r="Q3" i="1"/>
  <c r="Q4" i="1"/>
  <c r="Q5" i="1"/>
  <c r="Q6" i="1"/>
  <c r="Q26" i="1"/>
  <c r="Q27" i="1"/>
  <c r="Q29" i="1"/>
  <c r="Q30" i="1"/>
  <c r="Q31" i="1"/>
  <c r="Q32" i="1"/>
  <c r="Q33" i="1"/>
  <c r="Q37" i="1"/>
  <c r="Q38" i="1"/>
  <c r="Q54" i="1"/>
  <c r="Q55" i="1"/>
  <c r="Q60" i="1"/>
  <c r="Q61" i="1"/>
  <c r="Q62" i="1"/>
  <c r="Q63" i="1"/>
  <c r="Q64" i="1"/>
  <c r="Q65" i="1"/>
  <c r="Q66" i="1"/>
  <c r="Q67" i="1"/>
  <c r="Q68" i="1"/>
  <c r="Q69" i="1"/>
  <c r="Q70" i="1"/>
  <c r="Q71" i="1"/>
  <c r="Q91" i="1"/>
  <c r="Q97" i="1"/>
  <c r="Q98" i="1"/>
  <c r="Q99" i="1"/>
  <c r="Q100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W3" i="1"/>
  <c r="Y3" i="1" s="1"/>
  <c r="W118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Z22" i="1" s="1"/>
  <c r="AA22" i="1" s="1"/>
  <c r="Y23" i="1"/>
  <c r="Z23" i="1" s="1"/>
  <c r="AA23" i="1" s="1"/>
  <c r="Y24" i="1"/>
  <c r="Z24" i="1" s="1"/>
  <c r="AA24" i="1" s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X22" i="1"/>
  <c r="J22" i="1"/>
  <c r="J23" i="1"/>
  <c r="J24" i="1"/>
  <c r="X23" i="1"/>
  <c r="X24" i="1" l="1"/>
  <c r="P129" i="1"/>
  <c r="P128" i="1"/>
  <c r="P127" i="1"/>
  <c r="P126" i="1"/>
  <c r="T129" i="1"/>
  <c r="T128" i="1"/>
  <c r="T127" i="1"/>
  <c r="T126" i="1"/>
  <c r="W130" i="1"/>
  <c r="W129" i="1"/>
  <c r="W128" i="1"/>
  <c r="W127" i="1"/>
  <c r="W126" i="1"/>
  <c r="G130" i="1"/>
  <c r="G129" i="1"/>
  <c r="G128" i="1"/>
  <c r="G127" i="1"/>
  <c r="G126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 l="1"/>
  <c r="Y127" i="1"/>
  <c r="Y129" i="1"/>
  <c r="Y126" i="1"/>
  <c r="Y130" i="1"/>
  <c r="X128" i="1"/>
  <c r="Y128" i="1"/>
  <c r="X127" i="1"/>
  <c r="X129" i="1"/>
  <c r="Z73" i="1" l="1"/>
  <c r="AA73" i="1" s="1"/>
  <c r="J73" i="1"/>
  <c r="Z67" i="1"/>
  <c r="AA67" i="1" s="1"/>
  <c r="J67" i="1"/>
  <c r="Z79" i="1"/>
  <c r="AA79" i="1" s="1"/>
  <c r="J79" i="1"/>
  <c r="Z78" i="1"/>
  <c r="AA78" i="1" s="1"/>
  <c r="J78" i="1"/>
  <c r="J75" i="1"/>
  <c r="J76" i="1"/>
  <c r="J77" i="1"/>
  <c r="Z75" i="1"/>
  <c r="AA75" i="1" s="1"/>
  <c r="Z76" i="1"/>
  <c r="AA76" i="1" s="1"/>
  <c r="Z77" i="1"/>
  <c r="AA77" i="1" s="1"/>
  <c r="Z111" i="1"/>
  <c r="AA111" i="1" s="1"/>
  <c r="J111" i="1"/>
  <c r="Z110" i="1"/>
  <c r="AA110" i="1" s="1"/>
  <c r="J110" i="1"/>
  <c r="Z91" i="1"/>
  <c r="AA91" i="1" s="1"/>
  <c r="J91" i="1"/>
  <c r="Z43" i="1" l="1"/>
  <c r="AA43" i="1" s="1"/>
  <c r="J43" i="1"/>
  <c r="Z42" i="1"/>
  <c r="AA42" i="1" s="1"/>
  <c r="J42" i="1"/>
  <c r="Z41" i="1"/>
  <c r="AA41" i="1" s="1"/>
  <c r="J41" i="1"/>
  <c r="Z40" i="1"/>
  <c r="AA40" i="1" s="1"/>
  <c r="J40" i="1"/>
  <c r="Z55" i="1"/>
  <c r="AA55" i="1" s="1"/>
  <c r="J55" i="1"/>
  <c r="Z54" i="1"/>
  <c r="AA54" i="1" s="1"/>
  <c r="J54" i="1"/>
  <c r="Z53" i="1"/>
  <c r="AA53" i="1" s="1"/>
  <c r="J53" i="1"/>
  <c r="Z47" i="1"/>
  <c r="AA47" i="1" s="1"/>
  <c r="J47" i="1"/>
  <c r="Z46" i="1"/>
  <c r="AA46" i="1" s="1"/>
  <c r="J46" i="1"/>
  <c r="J44" i="1"/>
  <c r="J45" i="1"/>
  <c r="Z44" i="1"/>
  <c r="AA44" i="1" s="1"/>
  <c r="Z45" i="1"/>
  <c r="AA45" i="1" s="1"/>
  <c r="U44" i="1"/>
  <c r="V44" i="1" s="1"/>
  <c r="U45" i="1"/>
  <c r="V45" i="1" s="1"/>
  <c r="J124" i="1" l="1"/>
  <c r="Z124" i="1"/>
  <c r="AA124" i="1" s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8" i="1"/>
  <c r="Z50" i="1"/>
  <c r="Z52" i="1"/>
  <c r="Z56" i="1"/>
  <c r="Z57" i="1"/>
  <c r="Z58" i="1"/>
  <c r="Z59" i="1"/>
  <c r="Z60" i="1"/>
  <c r="Z61" i="1"/>
  <c r="Z62" i="1"/>
  <c r="Z63" i="1"/>
  <c r="Z64" i="1"/>
  <c r="Z65" i="1"/>
  <c r="Z66" i="1"/>
  <c r="Z68" i="1"/>
  <c r="Z69" i="1"/>
  <c r="Z70" i="1"/>
  <c r="Z71" i="1"/>
  <c r="Z72" i="1"/>
  <c r="Z74" i="1"/>
  <c r="Z80" i="1"/>
  <c r="Z81" i="1"/>
  <c r="Z82" i="1"/>
  <c r="Z83" i="1"/>
  <c r="Z84" i="1"/>
  <c r="Z85" i="1"/>
  <c r="Z86" i="1"/>
  <c r="Z87" i="1"/>
  <c r="Z88" i="1"/>
  <c r="Z89" i="1"/>
  <c r="Z90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5" i="1"/>
  <c r="AA15" i="1" l="1"/>
  <c r="J15" i="1"/>
  <c r="AA16" i="1"/>
  <c r="J16" i="1"/>
  <c r="AA14" i="1"/>
  <c r="J14" i="1"/>
  <c r="J20" i="1" l="1"/>
  <c r="AA20" i="1"/>
  <c r="J21" i="1"/>
  <c r="AA21" i="1"/>
  <c r="J25" i="1"/>
  <c r="AA25" i="1"/>
  <c r="J26" i="1"/>
  <c r="AA26" i="1"/>
  <c r="J27" i="1"/>
  <c r="AA27" i="1"/>
  <c r="J28" i="1"/>
  <c r="AA28" i="1"/>
  <c r="J29" i="1"/>
  <c r="AA29" i="1"/>
  <c r="J30" i="1"/>
  <c r="AA30" i="1"/>
  <c r="J31" i="1"/>
  <c r="AA31" i="1"/>
  <c r="J32" i="1"/>
  <c r="AA32" i="1"/>
  <c r="J33" i="1"/>
  <c r="AA33" i="1"/>
  <c r="J34" i="1"/>
  <c r="AA34" i="1"/>
  <c r="J35" i="1"/>
  <c r="AA35" i="1"/>
  <c r="J36" i="1"/>
  <c r="AA36" i="1"/>
  <c r="J37" i="1"/>
  <c r="AA37" i="1"/>
  <c r="J38" i="1"/>
  <c r="AA38" i="1"/>
  <c r="J39" i="1"/>
  <c r="AA39" i="1"/>
  <c r="J48" i="1"/>
  <c r="AA48" i="1"/>
  <c r="J49" i="1"/>
  <c r="J50" i="1"/>
  <c r="AA50" i="1"/>
  <c r="Z49" i="1" l="1"/>
  <c r="AA125" i="1"/>
  <c r="J125" i="1"/>
  <c r="A5" i="3"/>
  <c r="A6" i="3"/>
  <c r="A7" i="3"/>
  <c r="A4" i="3"/>
  <c r="A8" i="3"/>
  <c r="O127" i="1"/>
  <c r="S128" i="1"/>
  <c r="R128" i="1"/>
  <c r="S129" i="1"/>
  <c r="S126" i="1"/>
  <c r="R129" i="1"/>
  <c r="R126" i="1"/>
  <c r="S127" i="1"/>
  <c r="R127" i="1"/>
  <c r="E130" i="1"/>
  <c r="E129" i="1"/>
  <c r="E128" i="1"/>
  <c r="E127" i="1"/>
  <c r="E126" i="1"/>
  <c r="AA49" i="1" l="1"/>
  <c r="AA90" i="1"/>
  <c r="J90" i="1"/>
  <c r="AA17" i="1"/>
  <c r="J17" i="1"/>
  <c r="AA7" i="1" l="1"/>
  <c r="J7" i="1"/>
  <c r="H127" i="1" l="1"/>
  <c r="A138" i="1" l="1"/>
  <c r="O126" i="1"/>
  <c r="AA109" i="1"/>
  <c r="J109" i="1"/>
  <c r="AA18" i="1"/>
  <c r="J18" i="1"/>
  <c r="O129" i="1"/>
  <c r="I128" i="1"/>
  <c r="I129" i="1"/>
  <c r="I127" i="1"/>
  <c r="I126" i="1"/>
  <c r="I130" i="1"/>
  <c r="AA19" i="1"/>
  <c r="J19" i="1"/>
  <c r="Z51" i="1" l="1"/>
  <c r="O128" i="1"/>
  <c r="Z129" i="1" l="1"/>
  <c r="Z128" i="1"/>
  <c r="Z127" i="1"/>
  <c r="Z126" i="1"/>
  <c r="AA86" i="1"/>
  <c r="J86" i="1"/>
  <c r="AA89" i="1"/>
  <c r="J89" i="1"/>
  <c r="AA88" i="1"/>
  <c r="J88" i="1"/>
  <c r="AA87" i="1"/>
  <c r="J87" i="1"/>
  <c r="H130" i="1" l="1"/>
  <c r="H129" i="1"/>
  <c r="H128" i="1"/>
  <c r="H126" i="1"/>
  <c r="AA52" i="1" l="1"/>
  <c r="J52" i="1"/>
  <c r="AA6" i="1" l="1"/>
  <c r="J6" i="1"/>
  <c r="N129" i="1" l="1"/>
  <c r="N128" i="1"/>
  <c r="N127" i="1"/>
  <c r="N126" i="1"/>
  <c r="M129" i="1"/>
  <c r="M128" i="1"/>
  <c r="M127" i="1"/>
  <c r="M126" i="1"/>
  <c r="L129" i="1"/>
  <c r="L128" i="1"/>
  <c r="L127" i="1"/>
  <c r="L126" i="1"/>
  <c r="K129" i="1"/>
  <c r="K128" i="1"/>
  <c r="K127" i="1"/>
  <c r="K126" i="1"/>
  <c r="F130" i="1"/>
  <c r="F129" i="1"/>
  <c r="F128" i="1"/>
  <c r="F127" i="1"/>
  <c r="F126" i="1"/>
  <c r="A135" i="1"/>
  <c r="K130" i="1"/>
  <c r="M130" i="1"/>
  <c r="N130" i="1"/>
  <c r="O130" i="1"/>
  <c r="D142" i="1"/>
  <c r="D141" i="1" s="1"/>
  <c r="D139" i="1"/>
  <c r="AA102" i="1"/>
  <c r="J102" i="1"/>
  <c r="AA101" i="1"/>
  <c r="J101" i="1"/>
  <c r="U83" i="1" l="1"/>
  <c r="V83" i="1" s="1"/>
  <c r="U86" i="1"/>
  <c r="V86" i="1" s="1"/>
  <c r="U84" i="1"/>
  <c r="V84" i="1" s="1"/>
  <c r="U87" i="1"/>
  <c r="V87" i="1" s="1"/>
  <c r="U88" i="1"/>
  <c r="V88" i="1" s="1"/>
  <c r="U89" i="1"/>
  <c r="V89" i="1" s="1"/>
  <c r="U85" i="1"/>
  <c r="V85" i="1" s="1"/>
  <c r="U78" i="1"/>
  <c r="V78" i="1" s="1"/>
  <c r="U7" i="1"/>
  <c r="U8" i="1"/>
  <c r="V8" i="1" s="1"/>
  <c r="U67" i="1"/>
  <c r="V67" i="1" s="1"/>
  <c r="U73" i="1"/>
  <c r="V73" i="1" s="1"/>
  <c r="U76" i="1"/>
  <c r="V76" i="1" s="1"/>
  <c r="U79" i="1"/>
  <c r="V79" i="1" s="1"/>
  <c r="U77" i="1"/>
  <c r="V77" i="1" s="1"/>
  <c r="U75" i="1"/>
  <c r="V75" i="1" s="1"/>
  <c r="U110" i="1"/>
  <c r="V110" i="1" s="1"/>
  <c r="U111" i="1"/>
  <c r="V111" i="1" s="1"/>
  <c r="U43" i="1"/>
  <c r="V43" i="1" s="1"/>
  <c r="U91" i="1"/>
  <c r="V91" i="1" s="1"/>
  <c r="U42" i="1"/>
  <c r="V42" i="1" s="1"/>
  <c r="U41" i="1"/>
  <c r="V41" i="1" s="1"/>
  <c r="U40" i="1"/>
  <c r="V40" i="1" s="1"/>
  <c r="U55" i="1"/>
  <c r="V55" i="1" s="1"/>
  <c r="U53" i="1"/>
  <c r="V53" i="1" s="1"/>
  <c r="U54" i="1"/>
  <c r="V54" i="1" s="1"/>
  <c r="U47" i="1"/>
  <c r="V47" i="1" s="1"/>
  <c r="U46" i="1"/>
  <c r="V46" i="1" s="1"/>
  <c r="U124" i="1"/>
  <c r="V124" i="1" s="1"/>
  <c r="U15" i="1"/>
  <c r="V15" i="1" s="1"/>
  <c r="U14" i="1"/>
  <c r="V14" i="1" s="1"/>
  <c r="U16" i="1"/>
  <c r="V16" i="1" s="1"/>
  <c r="U20" i="1"/>
  <c r="V20" i="1" s="1"/>
  <c r="U29" i="1"/>
  <c r="V29" i="1" s="1"/>
  <c r="U30" i="1"/>
  <c r="V30" i="1" s="1"/>
  <c r="U31" i="1"/>
  <c r="V31" i="1" s="1"/>
  <c r="U33" i="1"/>
  <c r="V33" i="1" s="1"/>
  <c r="U34" i="1"/>
  <c r="V34" i="1" s="1"/>
  <c r="U36" i="1"/>
  <c r="V36" i="1" s="1"/>
  <c r="U37" i="1"/>
  <c r="V37" i="1" s="1"/>
  <c r="U38" i="1"/>
  <c r="V38" i="1" s="1"/>
  <c r="U50" i="1"/>
  <c r="V50" i="1" s="1"/>
  <c r="U32" i="1"/>
  <c r="V32" i="1" s="1"/>
  <c r="U48" i="1"/>
  <c r="V48" i="1" s="1"/>
  <c r="U27" i="1"/>
  <c r="V27" i="1" s="1"/>
  <c r="U21" i="1"/>
  <c r="V21" i="1" s="1"/>
  <c r="U25" i="1"/>
  <c r="V25" i="1" s="1"/>
  <c r="U26" i="1"/>
  <c r="V26" i="1" s="1"/>
  <c r="U35" i="1"/>
  <c r="V35" i="1" s="1"/>
  <c r="U28" i="1"/>
  <c r="V28" i="1" s="1"/>
  <c r="U49" i="1"/>
  <c r="V49" i="1" s="1"/>
  <c r="U125" i="1"/>
  <c r="V125" i="1" s="1"/>
  <c r="U90" i="1"/>
  <c r="V90" i="1" s="1"/>
  <c r="U17" i="1"/>
  <c r="V17" i="1" s="1"/>
  <c r="U18" i="1"/>
  <c r="V18" i="1" s="1"/>
  <c r="U109" i="1"/>
  <c r="V109" i="1" s="1"/>
  <c r="U19" i="1"/>
  <c r="V19" i="1" s="1"/>
  <c r="U101" i="1"/>
  <c r="V101" i="1" s="1"/>
  <c r="U52" i="1"/>
  <c r="V52" i="1" s="1"/>
  <c r="P130" i="1"/>
  <c r="U97" i="1"/>
  <c r="V97" i="1" s="1"/>
  <c r="U102" i="1"/>
  <c r="V102" i="1" s="1"/>
  <c r="U98" i="1"/>
  <c r="V98" i="1" s="1"/>
  <c r="U119" i="1"/>
  <c r="V119" i="1" s="1"/>
  <c r="U99" i="1"/>
  <c r="V99" i="1" s="1"/>
  <c r="U100" i="1"/>
  <c r="V100" i="1" s="1"/>
  <c r="AA119" i="1"/>
  <c r="J119" i="1"/>
  <c r="V7" i="1" l="1"/>
  <c r="AA83" i="1"/>
  <c r="J83" i="1"/>
  <c r="AA84" i="1"/>
  <c r="J84" i="1"/>
  <c r="AA85" i="1"/>
  <c r="J85" i="1"/>
  <c r="L130" i="1" l="1"/>
  <c r="U9" i="1" l="1"/>
  <c r="U118" i="1"/>
  <c r="V118" i="1" s="1"/>
  <c r="U114" i="1"/>
  <c r="V114" i="1" s="1"/>
  <c r="U107" i="1"/>
  <c r="V107" i="1" s="1"/>
  <c r="U103" i="1"/>
  <c r="V103" i="1" s="1"/>
  <c r="U94" i="1"/>
  <c r="V94" i="1" s="1"/>
  <c r="U81" i="1"/>
  <c r="V81" i="1" s="1"/>
  <c r="U71" i="1"/>
  <c r="V71" i="1" s="1"/>
  <c r="U66" i="1"/>
  <c r="V66" i="1" s="1"/>
  <c r="U62" i="1"/>
  <c r="V62" i="1" s="1"/>
  <c r="U58" i="1"/>
  <c r="V58" i="1" s="1"/>
  <c r="U13" i="1"/>
  <c r="V13" i="1" s="1"/>
  <c r="U123" i="1"/>
  <c r="V123" i="1" s="1"/>
  <c r="U120" i="1"/>
  <c r="V120" i="1" s="1"/>
  <c r="U115" i="1"/>
  <c r="V115" i="1" s="1"/>
  <c r="U108" i="1"/>
  <c r="V108" i="1" s="1"/>
  <c r="U104" i="1"/>
  <c r="V104" i="1" s="1"/>
  <c r="U72" i="1"/>
  <c r="V72" i="1" s="1"/>
  <c r="U63" i="1"/>
  <c r="V63" i="1" s="1"/>
  <c r="U122" i="1"/>
  <c r="V122" i="1" s="1"/>
  <c r="U117" i="1"/>
  <c r="V117" i="1" s="1"/>
  <c r="U113" i="1"/>
  <c r="V113" i="1" s="1"/>
  <c r="U106" i="1"/>
  <c r="V106" i="1" s="1"/>
  <c r="U93" i="1"/>
  <c r="V93" i="1" s="1"/>
  <c r="U80" i="1"/>
  <c r="V80" i="1" s="1"/>
  <c r="U70" i="1"/>
  <c r="V70" i="1" s="1"/>
  <c r="U65" i="1"/>
  <c r="V65" i="1" s="1"/>
  <c r="U61" i="1"/>
  <c r="V61" i="1" s="1"/>
  <c r="U57" i="1"/>
  <c r="V57" i="1" s="1"/>
  <c r="U51" i="1"/>
  <c r="V51" i="1" s="1"/>
  <c r="U12" i="1"/>
  <c r="V12" i="1" s="1"/>
  <c r="U82" i="1"/>
  <c r="V82" i="1" s="1"/>
  <c r="U68" i="1"/>
  <c r="V68" i="1" s="1"/>
  <c r="U59" i="1"/>
  <c r="V59" i="1" s="1"/>
  <c r="U10" i="1"/>
  <c r="V10" i="1" s="1"/>
  <c r="U121" i="1"/>
  <c r="V121" i="1" s="1"/>
  <c r="U116" i="1"/>
  <c r="V116" i="1" s="1"/>
  <c r="U112" i="1"/>
  <c r="V112" i="1" s="1"/>
  <c r="U105" i="1"/>
  <c r="V105" i="1" s="1"/>
  <c r="U95" i="1"/>
  <c r="V95" i="1" s="1"/>
  <c r="U92" i="1"/>
  <c r="V92" i="1" s="1"/>
  <c r="U74" i="1"/>
  <c r="V74" i="1" s="1"/>
  <c r="U69" i="1"/>
  <c r="V69" i="1" s="1"/>
  <c r="U64" i="1"/>
  <c r="V64" i="1" s="1"/>
  <c r="U60" i="1"/>
  <c r="V60" i="1" s="1"/>
  <c r="U56" i="1"/>
  <c r="V56" i="1" s="1"/>
  <c r="U11" i="1"/>
  <c r="V11" i="1" s="1"/>
  <c r="U126" i="1" l="1"/>
  <c r="U127" i="1"/>
  <c r="U129" i="1"/>
  <c r="U128" i="1"/>
  <c r="V9" i="1"/>
  <c r="U130" i="1"/>
  <c r="V130" i="1" l="1"/>
  <c r="V129" i="1"/>
  <c r="V127" i="1"/>
  <c r="V126" i="1"/>
  <c r="V128" i="1"/>
  <c r="S130" i="1"/>
  <c r="J3" i="1"/>
  <c r="J4" i="1"/>
  <c r="J5" i="1"/>
  <c r="J8" i="1"/>
  <c r="J9" i="1"/>
  <c r="J10" i="1"/>
  <c r="J11" i="1"/>
  <c r="J12" i="1"/>
  <c r="J13" i="1"/>
  <c r="J51" i="1"/>
  <c r="J56" i="1"/>
  <c r="J57" i="1"/>
  <c r="J58" i="1"/>
  <c r="J59" i="1"/>
  <c r="J60" i="1"/>
  <c r="J61" i="1"/>
  <c r="J62" i="1"/>
  <c r="J63" i="1"/>
  <c r="J64" i="1"/>
  <c r="J65" i="1"/>
  <c r="J66" i="1"/>
  <c r="J68" i="1"/>
  <c r="J69" i="1"/>
  <c r="J70" i="1"/>
  <c r="J71" i="1"/>
  <c r="J72" i="1"/>
  <c r="J74" i="1"/>
  <c r="J80" i="1"/>
  <c r="J81" i="1"/>
  <c r="J82" i="1"/>
  <c r="J92" i="1"/>
  <c r="J93" i="1"/>
  <c r="J94" i="1"/>
  <c r="J95" i="1"/>
  <c r="J96" i="1"/>
  <c r="J97" i="1"/>
  <c r="J98" i="1"/>
  <c r="J99" i="1"/>
  <c r="J100" i="1"/>
  <c r="J103" i="1"/>
  <c r="J104" i="1"/>
  <c r="J105" i="1"/>
  <c r="J106" i="1"/>
  <c r="J107" i="1"/>
  <c r="J108" i="1"/>
  <c r="J112" i="1"/>
  <c r="J113" i="1"/>
  <c r="J114" i="1"/>
  <c r="J115" i="1"/>
  <c r="J116" i="1"/>
  <c r="J117" i="1"/>
  <c r="J118" i="1"/>
  <c r="J120" i="1"/>
  <c r="J121" i="1"/>
  <c r="J122" i="1"/>
  <c r="J123" i="1"/>
  <c r="AA4" i="1"/>
  <c r="AA5" i="1"/>
  <c r="AA8" i="1"/>
  <c r="AA9" i="1"/>
  <c r="AA10" i="1"/>
  <c r="AA11" i="1"/>
  <c r="AA12" i="1"/>
  <c r="AA13" i="1"/>
  <c r="AA51" i="1"/>
  <c r="AA56" i="1"/>
  <c r="AA57" i="1"/>
  <c r="AA58" i="1"/>
  <c r="AA59" i="1"/>
  <c r="AA60" i="1"/>
  <c r="AA61" i="1"/>
  <c r="AA62" i="1"/>
  <c r="AA63" i="1"/>
  <c r="AA64" i="1"/>
  <c r="AA65" i="1"/>
  <c r="AA66" i="1"/>
  <c r="AA68" i="1"/>
  <c r="AA69" i="1"/>
  <c r="AA70" i="1"/>
  <c r="AA71" i="1"/>
  <c r="AA72" i="1"/>
  <c r="AA74" i="1"/>
  <c r="AA80" i="1"/>
  <c r="AA81" i="1"/>
  <c r="AA82" i="1"/>
  <c r="AA92" i="1"/>
  <c r="AA93" i="1"/>
  <c r="AA94" i="1"/>
  <c r="AA95" i="1"/>
  <c r="AA96" i="1"/>
  <c r="AA97" i="1"/>
  <c r="AA98" i="1"/>
  <c r="AA99" i="1"/>
  <c r="AA103" i="1"/>
  <c r="AA104" i="1"/>
  <c r="AA105" i="1"/>
  <c r="AA106" i="1"/>
  <c r="AA107" i="1"/>
  <c r="AA108" i="1"/>
  <c r="AA112" i="1"/>
  <c r="AA113" i="1"/>
  <c r="AA114" i="1"/>
  <c r="AA115" i="1"/>
  <c r="AA116" i="1"/>
  <c r="AA117" i="1"/>
  <c r="AA118" i="1"/>
  <c r="AA120" i="1"/>
  <c r="AA121" i="1"/>
  <c r="AA122" i="1"/>
  <c r="AA123" i="1"/>
  <c r="AA3" i="1" l="1"/>
  <c r="T130" i="1" l="1"/>
  <c r="R130" i="1" l="1"/>
  <c r="Q127" i="1" l="1"/>
  <c r="Q128" i="1"/>
  <c r="Q126" i="1"/>
  <c r="Q129" i="1"/>
  <c r="Q130" i="1"/>
  <c r="AA100" i="1" l="1"/>
  <c r="X130" i="1"/>
  <c r="Z130" i="1"/>
  <c r="AA130" i="1" l="1"/>
  <c r="AA129" i="1"/>
  <c r="AA126" i="1"/>
  <c r="AA128" i="1"/>
  <c r="AA12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5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6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3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3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<sst xmlns="http://schemas.openxmlformats.org/spreadsheetml/2006/main" count="548" uniqueCount="143">
  <si>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</si>
  <si>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</si>
  <si>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</si>
  <si>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</si>
  <si>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</si>
  <si>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</si>
  <si>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</si>
  <si>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</si>
  <si>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</si>
  <si>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</si>
  <si>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</si>
  <si>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</si>
  <si>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</si>
  <si>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</si>
  <si>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</si>
  <si>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</si>
  <si>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</si>
  <si>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</si>
  <si>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</si>
  <si>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</si>
  <si>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</si>
  <si>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</si>
  <si>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</si>
  <si>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</si>
  <si>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</si>
  <si>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</si>
  <si>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</si>
  <si>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</si>
  <si>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</si>
  <si>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</si>
  <si>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</si>
  <si>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</si>
  <si>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</si>
  <si>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</si>
  <si>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</si>
  <si>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</si>
  <si>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</si>
  <si>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</si>
  <si>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</si>
  <si>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</si>
  <si>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</si>
  <si>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</si>
  <si>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</si>
  <si>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</si>
  <si>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</si>
  <si>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</si>
  <si>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</si>
  <si>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</si>
  <si>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</si>
  <si>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</si>
  <si>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</si>
  <si>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</si>
  <si>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</si>
  <si>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</si>
  <si>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</si>
  <si>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</si>
  <si>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</si>
  <si>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</si>
  <si>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</si>
  <si>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</si>
  <si>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</si>
  <si>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</si>
  <si>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</si>
  <si>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</si>
  <si>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</si>
  <si>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</si>
  <si>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</si>
  <si>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</si>
  <si>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</si>
  <si>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</si>
  <si>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</si>
  <si>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</si>
  <si>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</si>
  <si>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</si>
  <si>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</si>
  <si>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</si>
  <si>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</si>
  <si>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</si>
  <si>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</si>
  <si>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</si>
  <si>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</si>
  <si>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</si>
  <si>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</si>
  <si>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</si>
  <si>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</si>
  <si>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</si>
  <si>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</si>
  <si>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</si>
  <si>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</si>
  <si>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</si>
  <si>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Travelstar 7K100</t>
  </si>
  <si>
    <t>Travelstar 5K100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</si>
  <si>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</si>
  <si>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</si>
  <si>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</si>
  <si>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</si>
  <si>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</si>
  <si>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</si>
  <si>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</si>
  <si>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</si>
  <si>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</si>
  <si>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</si>
  <si>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</si>
  <si>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</si>
  <si>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</si>
  <si>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</si>
  <si>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</si>
  <si>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</si>
  <si>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</si>
  <si>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</si>
  <si>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</si>
  <si>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</si>
  <si>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</si>
  <si>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</si>
  <si>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</si>
  <si>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</si>
  <si>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</si>
  <si>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</si>
  <si>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</si>
  <si>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Flash Memory Powerloss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</si>
  <si>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</si>
  <si>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</si>
  <si>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</si>
  <si>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</si>
  <si>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</si>
  <si>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</si>
  <si>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</si>
  <si>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Ultrastar 7K600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</si>
  <si>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</si>
  <si>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</si>
  <si>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</si>
  <si>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</si>
  <si>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</si>
  <si>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</si>
  <si>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</si>
  <si>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TYPES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</si>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</sst>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11"/>
      <name val="Calibri"/>
      <scheme val="minor"/>
    </font>
    <font>
      <sz val="9"/>
      <color indexed="81"/>
      <name val="Tahoma"/>
      <charset val="1"/>
    </font>
    <font>
      <b/>
      <sz val="11"/>
      <color rgb="FFFFFF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1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0" xfId="0" applyBorder="1"/>
    <xf numFmtId="3" fontId="0" fillId="0" borderId="21" xfId="0" applyNumberFormat="1" applyBorder="1"/>
    <xf numFmtId="3" fontId="0" fillId="0" borderId="3" xfId="0" applyNumberFormat="1" applyBorder="1"/>
    <xf numFmtId="3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167" fontId="1" fillId="4" borderId="27" xfId="0" applyNumberFormat="1" applyFont="1" applyFill="1" applyBorder="1"/>
    <xf numFmtId="167" fontId="1" fillId="4" borderId="28" xfId="0" applyNumberFormat="1" applyFont="1" applyFill="1" applyBorder="1"/>
    <xf numFmtId="0" fontId="1" fillId="4" borderId="29" xfId="0" applyFont="1" applyFill="1" applyBorder="1"/>
    <xf numFmtId="2" fontId="1" fillId="4" borderId="30" xfId="0" applyNumberFormat="1" applyFont="1" applyFill="1" applyBorder="1"/>
    <xf numFmtId="2" fontId="1" fillId="4" borderId="31" xfId="0" applyNumberFormat="1" applyFont="1" applyFill="1" applyBorder="1"/>
    <xf numFmtId="0" fontId="1" fillId="4" borderId="32" xfId="0" applyFont="1" applyFill="1" applyBorder="1"/>
    <xf numFmtId="2" fontId="0" fillId="0" borderId="3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39" xfId="0" applyFont="1" applyFill="1" applyBorder="1"/>
    <xf numFmtId="2" fontId="1" fillId="4" borderId="27" xfId="0" applyNumberFormat="1" applyFont="1" applyFill="1" applyBorder="1"/>
    <xf numFmtId="2" fontId="1" fillId="4" borderId="28" xfId="0" applyNumberFormat="1" applyFont="1" applyFill="1" applyBorder="1"/>
    <xf numFmtId="0" fontId="1" fillId="2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6" xfId="0" applyNumberFormat="1" applyFont="1" applyFill="1" applyBorder="1"/>
    <xf numFmtId="2" fontId="1" fillId="4" borderId="38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5" xfId="0" applyNumberFormat="1" applyBorder="1"/>
    <xf numFmtId="0" fontId="0" fillId="0" borderId="45" xfId="0" applyBorder="1"/>
    <xf numFmtId="0" fontId="0" fillId="0" borderId="45" xfId="0" applyBorder="1" applyAlignment="1">
      <alignment horizontal="center"/>
    </xf>
    <xf numFmtId="3" fontId="0" fillId="0" borderId="46" xfId="0" applyNumberFormat="1" applyBorder="1"/>
    <xf numFmtId="2" fontId="0" fillId="0" borderId="45" xfId="0" applyNumberFormat="1" applyBorder="1"/>
    <xf numFmtId="9" fontId="0" fillId="0" borderId="45" xfId="0" applyNumberFormat="1" applyBorder="1"/>
    <xf numFmtId="1" fontId="0" fillId="0" borderId="44" xfId="0" applyNumberFormat="1" applyBorder="1"/>
    <xf numFmtId="3" fontId="0" fillId="0" borderId="45" xfId="0" applyNumberFormat="1" applyBorder="1"/>
    <xf numFmtId="167" fontId="0" fillId="0" borderId="45" xfId="0" applyNumberFormat="1" applyBorder="1"/>
    <xf numFmtId="2" fontId="0" fillId="0" borderId="46" xfId="0" applyNumberFormat="1" applyBorder="1"/>
    <xf numFmtId="164" fontId="0" fillId="0" borderId="45" xfId="0" applyNumberFormat="1" applyFill="1" applyBorder="1"/>
    <xf numFmtId="0" fontId="0" fillId="0" borderId="47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0" xfId="0" applyNumberFormat="1" applyFill="1" applyBorder="1"/>
    <xf numFmtId="2" fontId="0" fillId="0" borderId="45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8" xfId="0" pivotButton="1" applyBorder="1"/>
    <xf numFmtId="0" fontId="0" fillId="0" borderId="48" xfId="0" applyBorder="1"/>
    <xf numFmtId="164" fontId="0" fillId="0" borderId="48" xfId="0" applyNumberFormat="1" applyBorder="1"/>
    <xf numFmtId="2" fontId="0" fillId="0" borderId="48" xfId="0" applyNumberFormat="1" applyBorder="1" applyAlignment="1">
      <alignment horizontal="right"/>
    </xf>
    <xf numFmtId="0" fontId="0" fillId="0" borderId="48" xfId="0" pivotButton="1" applyBorder="1" applyAlignment="1">
      <alignment horizontal="center"/>
    </xf>
    <xf numFmtId="0" fontId="0" fillId="0" borderId="48" xfId="0" applyBorder="1" applyAlignment="1">
      <alignment horizontal="center"/>
    </xf>
    <xf numFmtId="2" fontId="0" fillId="0" borderId="48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8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5" xfId="0" applyNumberForma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50" xfId="0" applyNumberFormat="1" applyFont="1" applyFill="1" applyBorder="1" applyAlignment="1">
      <alignment horizontal="right"/>
    </xf>
    <xf numFmtId="2" fontId="1" fillId="4" borderId="50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8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20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5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20" xfId="1" applyBorder="1"/>
    <xf numFmtId="0" fontId="10" fillId="0" borderId="47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5" xfId="0" applyNumberFormat="1" applyBorder="1"/>
    <xf numFmtId="168" fontId="1" fillId="4" borderId="27" xfId="0" applyNumberFormat="1" applyFont="1" applyFill="1" applyBorder="1"/>
    <xf numFmtId="168" fontId="1" fillId="4" borderId="28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5" xfId="0" applyNumberFormat="1" applyFont="1" applyBorder="1"/>
    <xf numFmtId="8" fontId="12" fillId="0" borderId="0" xfId="0" applyNumberFormat="1" applyFont="1" applyBorder="1"/>
    <xf numFmtId="8" fontId="4" fillId="0" borderId="54" xfId="0" applyNumberFormat="1" applyFont="1" applyBorder="1"/>
    <xf numFmtId="44" fontId="1" fillId="4" borderId="30" xfId="0" applyNumberFormat="1" applyFont="1" applyFill="1" applyBorder="1"/>
    <xf numFmtId="44" fontId="1" fillId="4" borderId="31" xfId="0" applyNumberFormat="1" applyFont="1" applyFill="1" applyBorder="1"/>
    <xf numFmtId="0" fontId="1" fillId="2" borderId="55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6" xfId="0" applyFill="1" applyBorder="1"/>
    <xf numFmtId="0" fontId="0" fillId="14" borderId="57" xfId="0" applyFill="1" applyBorder="1"/>
    <xf numFmtId="168" fontId="0" fillId="14" borderId="57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7" xfId="0" applyNumberFormat="1" applyFont="1" applyFill="1" applyBorder="1"/>
    <xf numFmtId="3" fontId="1" fillId="4" borderId="28" xfId="0" applyNumberFormat="1" applyFont="1" applyFill="1" applyBorder="1"/>
    <xf numFmtId="44" fontId="1" fillId="4" borderId="58" xfId="0" applyNumberFormat="1" applyFont="1" applyFill="1" applyBorder="1"/>
    <xf numFmtId="44" fontId="1" fillId="4" borderId="59" xfId="0" applyNumberFormat="1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0" fontId="1" fillId="4" borderId="63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/>
    </xf>
    <xf numFmtId="2" fontId="0" fillId="0" borderId="2" xfId="0" applyNumberFormat="1" applyBorder="1"/>
    <xf numFmtId="167" fontId="0" fillId="0" borderId="43" xfId="0" applyNumberFormat="1" applyBorder="1"/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3" xfId="0" applyFont="1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1" fillId="7" borderId="33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40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1" xfId="0" applyNumberFormat="1" applyFill="1" applyBorder="1" applyAlignment="1">
      <alignment horizontal="center" vertical="center"/>
    </xf>
    <xf numFmtId="0" fontId="1" fillId="12" borderId="51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4" xfId="0" applyFill="1" applyBorder="1" applyAlignment="1">
      <alignment horizontal="center"/>
    </xf>
    <xf numFmtId="0" fontId="7" fillId="8" borderId="52" xfId="0" applyFont="1" applyFill="1" applyBorder="1" applyAlignment="1">
      <alignment horizontal="center" vertical="center" shrinkToFit="1"/>
    </xf>
    <xf numFmtId="0" fontId="0" fillId="0" borderId="53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8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  <xf numFmtId="2" fontId="0" fillId="11" borderId="52" xfId="0" applyNumberFormat="1" applyFont="1" applyFill="1" applyBorder="1" applyAlignment="1">
      <alignment horizontal="center" shrinkToFit="1"/>
    </xf>
    <xf numFmtId="0" fontId="0" fillId="0" borderId="53" xfId="0" applyBorder="1" applyAlignment="1">
      <alignment horizontal="center" shrinkToFit="1"/>
    </xf>
    <xf numFmtId="2" fontId="0" fillId="0" borderId="0" xfId="0" applyNumberFormat="1" applyFill="1" applyBorder="1" applyAlignment="1">
      <alignment horizontal="center"/>
    </xf>
    <xf numFmtId="2" fontId="10" fillId="0" borderId="46" xfId="1" applyNumberFormat="1" applyBorder="1"/>
    <xf numFmtId="164" fontId="0" fillId="0" borderId="45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6" xfId="0" applyNumberFormat="1" applyFont="1" applyBorder="1"/>
    <xf numFmtId="8" fontId="4" fillId="0" borderId="67" xfId="0" applyNumberFormat="1" applyFont="1" applyBorder="1"/>
    <xf numFmtId="8" fontId="4" fillId="0" borderId="65" xfId="0" applyNumberFormat="1" applyFont="1" applyBorder="1"/>
    <xf numFmtId="164" fontId="0" fillId="0" borderId="68" xfId="0" applyNumberFormat="1" applyFill="1" applyBorder="1"/>
    <xf numFmtId="164" fontId="0" fillId="0" borderId="14" xfId="0" applyNumberFormat="1" applyFill="1" applyBorder="1"/>
    <xf numFmtId="164" fontId="0" fillId="0" borderId="69" xfId="0" applyNumberFormat="1" applyFill="1" applyBorder="1"/>
    <xf numFmtId="0" fontId="0" fillId="13" borderId="12" xfId="0" applyFill="1" applyBorder="1" applyAlignment="1">
      <alignment horizontal="center" shrinkToFit="1"/>
    </xf>
    <xf numFmtId="0" fontId="3" fillId="2" borderId="70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70" xfId="0" applyNumberFormat="1" applyFill="1" applyBorder="1"/>
    <xf numFmtId="164" fontId="0" fillId="0" borderId="71" xfId="0" applyNumberFormat="1" applyFill="1" applyBorder="1"/>
    <xf numFmtId="164" fontId="0" fillId="0" borderId="64" xfId="0" applyNumberFormat="1" applyFill="1" applyBorder="1"/>
    <xf numFmtId="164" fontId="0" fillId="0" borderId="72" xfId="0" applyNumberFormat="1" applyFill="1" applyBorder="1"/>
  </cellXfs>
  <cellStyles count="2">
    <cellStyle name="Hyperlink" xfId="1" builtinId="8"/>
    <cellStyle name="Normal" xfId="0" builtinId="0"/>
  </cellStyles>
  <dxfs count="102"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bottom style="thick">
          <color auto="1"/>
        </bottom>
      </border>
    </dxf>
    <dxf>
      <border outline="0"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</dxfs>
  <tableStyles count="0" defaultTableStyle="TableStyleMedium2" defaultPivotStyle="PivotStyleLight16"/>
  <colors>
    <mruColors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Tables!$A$6:$A$16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Tables!$B$6:$B$16</c:f>
              <c:numCache>
                <c:formatCode>"$"#,##0.00</c:formatCode>
                <c:ptCount val="10"/>
                <c:pt idx="0">
                  <c:v>0</c:v>
                </c:pt>
                <c:pt idx="1">
                  <c:v>13.386959999999998</c:v>
                </c:pt>
                <c:pt idx="2">
                  <c:v>14.578944999999999</c:v>
                </c:pt>
                <c:pt idx="3">
                  <c:v>7.9291866666666655</c:v>
                </c:pt>
                <c:pt idx="4">
                  <c:v>8.8935838888888892</c:v>
                </c:pt>
                <c:pt idx="5">
                  <c:v>12.032</c:v>
                </c:pt>
                <c:pt idx="6">
                  <c:v>7.7857242424242425</c:v>
                </c:pt>
                <c:pt idx="7">
                  <c:v>7.4468315</c:v>
                </c:pt>
                <c:pt idx="8">
                  <c:v>6.7123085000000007</c:v>
                </c:pt>
                <c:pt idx="9">
                  <c:v>8.8520593333333331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52324384"/>
        <c:axId val="452325560"/>
      </c:barChart>
      <c:catAx>
        <c:axId val="4523243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325560"/>
        <c:crosses val="autoZero"/>
        <c:auto val="1"/>
        <c:lblAlgn val="ctr"/>
        <c:lblOffset val="100"/>
        <c:noMultiLvlLbl val="0"/>
      </c:catAx>
      <c:valAx>
        <c:axId val="452325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324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Tables!$A$24:$A$34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Tables!$B$24:$B$34</c:f>
              <c:numCache>
                <c:formatCode>"$"#,##0.000</c:formatCode>
                <c:ptCount val="10"/>
                <c:pt idx="0">
                  <c:v>7.4021973333333335</c:v>
                </c:pt>
                <c:pt idx="1">
                  <c:v>3.5444350560000002</c:v>
                </c:pt>
                <c:pt idx="2">
                  <c:v>2.4965980200000004</c:v>
                </c:pt>
                <c:pt idx="3">
                  <c:v>1.789676</c:v>
                </c:pt>
                <c:pt idx="4">
                  <c:v>1.6106475266666669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0.50695312000000003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2319288"/>
        <c:axId val="452315760"/>
      </c:barChart>
      <c:catAx>
        <c:axId val="452319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315760"/>
        <c:crosses val="autoZero"/>
        <c:auto val="1"/>
        <c:lblAlgn val="ctr"/>
        <c:lblOffset val="100"/>
        <c:noMultiLvlLbl val="0"/>
      </c:catAx>
      <c:valAx>
        <c:axId val="45231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319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Tables!$A$42:$A$52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Tables!$B$42:$B$52</c:f>
              <c:numCache>
                <c:formatCode>"$"#,##0.000</c:formatCode>
                <c:ptCount val="10"/>
                <c:pt idx="0">
                  <c:v>6.6619776000000002</c:v>
                </c:pt>
                <c:pt idx="1">
                  <c:v>3.5444350560000002</c:v>
                </c:pt>
                <c:pt idx="2">
                  <c:v>4.9931960400000008</c:v>
                </c:pt>
                <c:pt idx="3">
                  <c:v>5.3690280000000001</c:v>
                </c:pt>
                <c:pt idx="4">
                  <c:v>6.4425901066666675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6.08343744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2313408"/>
        <c:axId val="452314976"/>
      </c:barChart>
      <c:catAx>
        <c:axId val="452313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314976"/>
        <c:crosses val="autoZero"/>
        <c:auto val="1"/>
        <c:lblAlgn val="ctr"/>
        <c:lblOffset val="100"/>
        <c:noMultiLvlLbl val="0"/>
      </c:catAx>
      <c:valAx>
        <c:axId val="45231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313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48.425142291666674</c:v>
                </c:pt>
                <c:pt idx="1">
                  <c:v>32.531300000000002</c:v>
                </c:pt>
                <c:pt idx="2">
                  <c:v>53.727986666666666</c:v>
                </c:pt>
                <c:pt idx="3">
                  <c:v>42.466988611111113</c:v>
                </c:pt>
                <c:pt idx="4">
                  <c:v>50.258681500000002</c:v>
                </c:pt>
                <c:pt idx="5">
                  <c:v>35.077648611111115</c:v>
                </c:pt>
                <c:pt idx="6">
                  <c:v>48.564916666666662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90853024"/>
        <c:axId val="590856944"/>
      </c:barChart>
      <c:catAx>
        <c:axId val="590853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856944"/>
        <c:crosses val="autoZero"/>
        <c:auto val="1"/>
        <c:lblAlgn val="ctr"/>
        <c:lblOffset val="100"/>
        <c:noMultiLvlLbl val="0"/>
      </c:catAx>
      <c:valAx>
        <c:axId val="59085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85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90836560"/>
        <c:axId val="590838128"/>
      </c:barChart>
      <c:catAx>
        <c:axId val="590836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838128"/>
        <c:crosses val="autoZero"/>
        <c:auto val="1"/>
        <c:lblAlgn val="ctr"/>
        <c:lblOffset val="100"/>
        <c:noMultiLvlLbl val="0"/>
      </c:catAx>
      <c:valAx>
        <c:axId val="59083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836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Table'!$C$3:$C$125</c:f>
              <c:strCache>
                <c:ptCount val="12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</c:v>
                </c:pt>
                <c:pt idx="5">
                  <c:v>Travelstar 7K100</c:v>
                </c:pt>
                <c:pt idx="6">
                  <c:v>Ultrastar 7K600</c:v>
                </c:pt>
                <c:pt idx="7">
                  <c:v>Ultrastar 7K600</c:v>
                </c:pt>
                <c:pt idx="8">
                  <c:v>Ultrastar 7K600</c:v>
                </c:pt>
                <c:pt idx="9">
                  <c:v>Ultrastar 7K600</c:v>
                </c:pt>
                <c:pt idx="10">
                  <c:v>Ultrastar Archive Ha10</c:v>
                </c:pt>
                <c:pt idx="11">
                  <c:v>Ultrastar C10K1200</c:v>
                </c:pt>
                <c:pt idx="12">
                  <c:v>Ultrastar C10K1800</c:v>
                </c:pt>
                <c:pt idx="13">
                  <c:v>Ultrastar C15K600</c:v>
                </c:pt>
                <c:pt idx="14">
                  <c:v>Ultrastar He6</c:v>
                </c:pt>
                <c:pt idx="15">
                  <c:v>Ultrastar He8</c:v>
                </c:pt>
                <c:pt idx="16">
                  <c:v>Ultrastar He10</c:v>
                </c:pt>
                <c:pt idx="17">
                  <c:v>Ultrastar He12</c:v>
                </c:pt>
                <c:pt idx="18">
                  <c:v>Ultrastar Hs14</c:v>
                </c:pt>
                <c:pt idx="19">
                  <c:v>Archive</c:v>
                </c:pt>
                <c:pt idx="20">
                  <c:v>Archive</c:v>
                </c:pt>
                <c:pt idx="21">
                  <c:v>Archive</c:v>
                </c:pt>
                <c:pt idx="22">
                  <c:v>BarraCuda</c:v>
                </c:pt>
                <c:pt idx="23">
                  <c:v>BarraCuda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 Pro</c:v>
                </c:pt>
                <c:pt idx="32">
                  <c:v>BarraCuda Pro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BarraCuda Pro</c:v>
                </c:pt>
                <c:pt idx="36">
                  <c:v>BarraCuda Pro</c:v>
                </c:pt>
                <c:pt idx="37">
                  <c:v>Exos 10E2400</c:v>
                </c:pt>
                <c:pt idx="38">
                  <c:v>Exos 10E2400</c:v>
                </c:pt>
                <c:pt idx="39">
                  <c:v>Exos 15E900</c:v>
                </c:pt>
                <c:pt idx="40">
                  <c:v>Exos 5E8</c:v>
                </c:pt>
                <c:pt idx="41">
                  <c:v>Exos 7E2</c:v>
                </c:pt>
                <c:pt idx="42">
                  <c:v>Exos 7E2</c:v>
                </c:pt>
                <c:pt idx="43">
                  <c:v>Exos 7E2000</c:v>
                </c:pt>
                <c:pt idx="44">
                  <c:v>Exos 7E2000</c:v>
                </c:pt>
                <c:pt idx="45">
                  <c:v>Exos 7E8</c:v>
                </c:pt>
                <c:pt idx="46">
                  <c:v>Exos 7E8</c:v>
                </c:pt>
                <c:pt idx="47">
                  <c:v>Exos 7E8</c:v>
                </c:pt>
                <c:pt idx="48">
                  <c:v>Exos 7E8</c:v>
                </c:pt>
                <c:pt idx="49">
                  <c:v>Exos 7E8</c:v>
                </c:pt>
                <c:pt idx="50">
                  <c:v>Exos X10</c:v>
                </c:pt>
                <c:pt idx="51">
                  <c:v>Exos X10</c:v>
                </c:pt>
                <c:pt idx="52">
                  <c:v>Exos X12</c:v>
                </c:pt>
                <c:pt idx="53">
                  <c:v>FireCuda SSHD</c:v>
                </c:pt>
                <c:pt idx="54">
                  <c:v>FireCuda SSHD</c:v>
                </c:pt>
                <c:pt idx="55">
                  <c:v>FireCuda SSHD</c:v>
                </c:pt>
                <c:pt idx="56">
                  <c:v>FireCuda SSHD</c:v>
                </c:pt>
                <c:pt idx="57">
                  <c:v>IronWolf</c:v>
                </c:pt>
                <c:pt idx="58">
                  <c:v>IronWolf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 Pro</c:v>
                </c:pt>
                <c:pt idx="66">
                  <c:v>IronWolf Pro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IronWolf Pro</c:v>
                </c:pt>
                <c:pt idx="70">
                  <c:v>IronWolf Pro</c:v>
                </c:pt>
                <c:pt idx="71">
                  <c:v>Terascale</c:v>
                </c:pt>
                <c:pt idx="72">
                  <c:v>Enterprise Capacity</c:v>
                </c:pt>
                <c:pt idx="73">
                  <c:v>Enterprise Capacity</c:v>
                </c:pt>
                <c:pt idx="74">
                  <c:v>Enterprise Capacity</c:v>
                </c:pt>
                <c:pt idx="75">
                  <c:v>Enterprise Performance</c:v>
                </c:pt>
                <c:pt idx="76">
                  <c:v>Enterprise Performance</c:v>
                </c:pt>
                <c:pt idx="77">
                  <c:v>N300</c:v>
                </c:pt>
                <c:pt idx="78">
                  <c:v>N300</c:v>
                </c:pt>
                <c:pt idx="79">
                  <c:v>N300</c:v>
                </c:pt>
                <c:pt idx="80">
                  <c:v>P300</c:v>
                </c:pt>
                <c:pt idx="81">
                  <c:v>P300</c:v>
                </c:pt>
                <c:pt idx="82">
                  <c:v>P300</c:v>
                </c:pt>
                <c:pt idx="83">
                  <c:v>X300</c:v>
                </c:pt>
                <c:pt idx="84">
                  <c:v>X300</c:v>
                </c:pt>
                <c:pt idx="85">
                  <c:v>X300</c:v>
                </c:pt>
                <c:pt idx="86">
                  <c:v>X300</c:v>
                </c:pt>
                <c:pt idx="87">
                  <c:v>Ae</c:v>
                </c:pt>
                <c:pt idx="88">
                  <c:v>Black</c:v>
                </c:pt>
                <c:pt idx="89">
                  <c:v>Black</c:v>
                </c:pt>
                <c:pt idx="90">
                  <c:v>Black</c:v>
                </c:pt>
                <c:pt idx="91">
                  <c:v>Black</c:v>
                </c:pt>
                <c:pt idx="92">
                  <c:v>Black</c:v>
                </c:pt>
                <c:pt idx="93">
                  <c:v>Blue</c:v>
                </c:pt>
                <c:pt idx="94">
                  <c:v>Blue</c:v>
                </c:pt>
                <c:pt idx="95">
                  <c:v>Blue</c:v>
                </c:pt>
                <c:pt idx="96">
                  <c:v>Blue</c:v>
                </c:pt>
                <c:pt idx="97">
                  <c:v>Blue</c:v>
                </c:pt>
                <c:pt idx="98">
                  <c:v>Blue</c:v>
                </c:pt>
                <c:pt idx="99">
                  <c:v>Blue</c:v>
                </c:pt>
                <c:pt idx="100">
                  <c:v>Gold Enterprise</c:v>
                </c:pt>
                <c:pt idx="101">
                  <c:v>Gold Enterprise</c:v>
                </c:pt>
                <c:pt idx="102">
                  <c:v>Gold Enterprise</c:v>
                </c:pt>
                <c:pt idx="103">
                  <c:v>Gold Enterprise</c:v>
                </c:pt>
                <c:pt idx="104">
                  <c:v>Gold Enterprise</c:v>
                </c:pt>
                <c:pt idx="105">
                  <c:v>Gold Enterprise</c:v>
                </c:pt>
                <c:pt idx="106">
                  <c:v>Gold Enterprise</c:v>
                </c:pt>
                <c:pt idx="107">
                  <c:v>Red NAS</c:v>
                </c:pt>
                <c:pt idx="108">
                  <c:v>Red NAS</c:v>
                </c:pt>
                <c:pt idx="109">
                  <c:v>Red NAS</c:v>
                </c:pt>
                <c:pt idx="110">
                  <c:v>Red NAS</c:v>
                </c:pt>
                <c:pt idx="111">
                  <c:v>Red NAS</c:v>
                </c:pt>
                <c:pt idx="112">
                  <c:v>Red NAS</c:v>
                </c:pt>
                <c:pt idx="113">
                  <c:v>Red NAS</c:v>
                </c:pt>
                <c:pt idx="114">
                  <c:v>Red NAS</c:v>
                </c:pt>
                <c:pt idx="115">
                  <c:v>Red NAS</c:v>
                </c:pt>
                <c:pt idx="116">
                  <c:v>Red NAS</c:v>
                </c:pt>
                <c:pt idx="117">
                  <c:v>RED NAS Pro</c:v>
                </c:pt>
                <c:pt idx="118">
                  <c:v>RED NAS Pro</c:v>
                </c:pt>
                <c:pt idx="119">
                  <c:v>RED NAS Pro</c:v>
                </c:pt>
                <c:pt idx="120">
                  <c:v>RED NAS Pro</c:v>
                </c:pt>
                <c:pt idx="121">
                  <c:v>RED NAS Pro</c:v>
                </c:pt>
                <c:pt idx="12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Table'!$F$3:$F$126</c:f>
              <c:numCache>
                <c:formatCode>0.00</c:formatCode>
                <c:ptCount val="12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1.2</c:v>
                </c:pt>
                <c:pt idx="12">
                  <c:v>1.8</c:v>
                </c:pt>
                <c:pt idx="13">
                  <c:v>0.6</c:v>
                </c:pt>
                <c:pt idx="14">
                  <c:v>6</c:v>
                </c:pt>
                <c:pt idx="15">
                  <c:v>8</c:v>
                </c:pt>
                <c:pt idx="16">
                  <c:v>10</c:v>
                </c:pt>
                <c:pt idx="17">
                  <c:v>12</c:v>
                </c:pt>
                <c:pt idx="18">
                  <c:v>14</c:v>
                </c:pt>
                <c:pt idx="19">
                  <c:v>5</c:v>
                </c:pt>
                <c:pt idx="20">
                  <c:v>6</c:v>
                </c:pt>
                <c:pt idx="21">
                  <c:v>8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5</c:v>
                </c:pt>
                <c:pt idx="31">
                  <c:v>2</c:v>
                </c:pt>
                <c:pt idx="32">
                  <c:v>4</c:v>
                </c:pt>
                <c:pt idx="33">
                  <c:v>6</c:v>
                </c:pt>
                <c:pt idx="34">
                  <c:v>8</c:v>
                </c:pt>
                <c:pt idx="35">
                  <c:v>10</c:v>
                </c:pt>
                <c:pt idx="36">
                  <c:v>12</c:v>
                </c:pt>
                <c:pt idx="37">
                  <c:v>1.8</c:v>
                </c:pt>
                <c:pt idx="38">
                  <c:v>2.4</c:v>
                </c:pt>
                <c:pt idx="39">
                  <c:v>0.9</c:v>
                </c:pt>
                <c:pt idx="40">
                  <c:v>8</c:v>
                </c:pt>
                <c:pt idx="41">
                  <c:v>1</c:v>
                </c:pt>
                <c:pt idx="42">
                  <c:v>2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4</c:v>
                </c:pt>
                <c:pt idx="48">
                  <c:v>6</c:v>
                </c:pt>
                <c:pt idx="49">
                  <c:v>8</c:v>
                </c:pt>
                <c:pt idx="50">
                  <c:v>8</c:v>
                </c:pt>
                <c:pt idx="51">
                  <c:v>10</c:v>
                </c:pt>
                <c:pt idx="52">
                  <c:v>12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  <c:pt idx="58">
                  <c:v>2</c:v>
                </c:pt>
                <c:pt idx="59">
                  <c:v>3</c:v>
                </c:pt>
                <c:pt idx="60">
                  <c:v>4</c:v>
                </c:pt>
                <c:pt idx="61">
                  <c:v>6</c:v>
                </c:pt>
                <c:pt idx="62">
                  <c:v>8</c:v>
                </c:pt>
                <c:pt idx="63">
                  <c:v>10</c:v>
                </c:pt>
                <c:pt idx="64">
                  <c:v>12</c:v>
                </c:pt>
                <c:pt idx="65">
                  <c:v>2</c:v>
                </c:pt>
                <c:pt idx="66">
                  <c:v>4</c:v>
                </c:pt>
                <c:pt idx="67">
                  <c:v>6</c:v>
                </c:pt>
                <c:pt idx="68">
                  <c:v>8</c:v>
                </c:pt>
                <c:pt idx="69">
                  <c:v>10</c:v>
                </c:pt>
                <c:pt idx="70">
                  <c:v>12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1.8</c:v>
                </c:pt>
                <c:pt idx="76">
                  <c:v>0.9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</c:v>
                </c:pt>
                <c:pt idx="81">
                  <c:v>2</c:v>
                </c:pt>
                <c:pt idx="82">
                  <c:v>3</c:v>
                </c:pt>
                <c:pt idx="83">
                  <c:v>4</c:v>
                </c:pt>
                <c:pt idx="84">
                  <c:v>5</c:v>
                </c:pt>
                <c:pt idx="85">
                  <c:v>6</c:v>
                </c:pt>
                <c:pt idx="86">
                  <c:v>8</c:v>
                </c:pt>
                <c:pt idx="87">
                  <c:v>6</c:v>
                </c:pt>
                <c:pt idx="88">
                  <c:v>1</c:v>
                </c:pt>
                <c:pt idx="89">
                  <c:v>1</c:v>
                </c:pt>
                <c:pt idx="90">
                  <c:v>2</c:v>
                </c:pt>
                <c:pt idx="91">
                  <c:v>4</c:v>
                </c:pt>
                <c:pt idx="92">
                  <c:v>6</c:v>
                </c:pt>
                <c:pt idx="93">
                  <c:v>1</c:v>
                </c:pt>
                <c:pt idx="94">
                  <c:v>2</c:v>
                </c:pt>
                <c:pt idx="95">
                  <c:v>3</c:v>
                </c:pt>
                <c:pt idx="96">
                  <c:v>4</c:v>
                </c:pt>
                <c:pt idx="97">
                  <c:v>6</c:v>
                </c:pt>
                <c:pt idx="98">
                  <c:v>1</c:v>
                </c:pt>
                <c:pt idx="99">
                  <c:v>2</c:v>
                </c:pt>
                <c:pt idx="100">
                  <c:v>1</c:v>
                </c:pt>
                <c:pt idx="101">
                  <c:v>2</c:v>
                </c:pt>
                <c:pt idx="102">
                  <c:v>4</c:v>
                </c:pt>
                <c:pt idx="103">
                  <c:v>6</c:v>
                </c:pt>
                <c:pt idx="104">
                  <c:v>8</c:v>
                </c:pt>
                <c:pt idx="105">
                  <c:v>10</c:v>
                </c:pt>
                <c:pt idx="106">
                  <c:v>12</c:v>
                </c:pt>
                <c:pt idx="107">
                  <c:v>0.75</c:v>
                </c:pt>
                <c:pt idx="108">
                  <c:v>1</c:v>
                </c:pt>
                <c:pt idx="109">
                  <c:v>1</c:v>
                </c:pt>
                <c:pt idx="110">
                  <c:v>2</c:v>
                </c:pt>
                <c:pt idx="111">
                  <c:v>3</c:v>
                </c:pt>
                <c:pt idx="112">
                  <c:v>4</c:v>
                </c:pt>
                <c:pt idx="113">
                  <c:v>5</c:v>
                </c:pt>
                <c:pt idx="114">
                  <c:v>6</c:v>
                </c:pt>
                <c:pt idx="115">
                  <c:v>8</c:v>
                </c:pt>
                <c:pt idx="116">
                  <c:v>10</c:v>
                </c:pt>
                <c:pt idx="117">
                  <c:v>2</c:v>
                </c:pt>
                <c:pt idx="118">
                  <c:v>3</c:v>
                </c:pt>
                <c:pt idx="119">
                  <c:v>4</c:v>
                </c:pt>
                <c:pt idx="120">
                  <c:v>6</c:v>
                </c:pt>
                <c:pt idx="121">
                  <c:v>8</c:v>
                </c:pt>
                <c:pt idx="122">
                  <c:v>10</c:v>
                </c:pt>
                <c:pt idx="123">
                  <c:v>0.6</c:v>
                </c:pt>
              </c:numCache>
            </c:numRef>
          </c:xVal>
          <c:yVal>
            <c:numRef>
              <c:f>'Drive Table'!$X$3:$X$126</c:f>
              <c:numCache>
                <c:formatCode>"$"#,##0.00</c:formatCode>
                <c:ptCount val="124"/>
                <c:pt idx="0">
                  <c:v>27.498750000000001</c:v>
                </c:pt>
                <c:pt idx="1">
                  <c:v>26.665000000000003</c:v>
                </c:pt>
                <c:pt idx="2">
                  <c:v>28.748750000000001</c:v>
                </c:pt>
                <c:pt idx="3">
                  <c:v>29.999000000000002</c:v>
                </c:pt>
                <c:pt idx="4">
                  <c:v>49.99</c:v>
                </c:pt>
                <c:pt idx="5">
                  <c:v>49.99</c:v>
                </c:pt>
                <c:pt idx="6">
                  <c:v>73.19</c:v>
                </c:pt>
                <c:pt idx="7">
                  <c:v>48.712499999999999</c:v>
                </c:pt>
                <c:pt idx="8">
                  <c:v>56.391999999999996</c:v>
                </c:pt>
                <c:pt idx="9">
                  <c:v>42.936666666666667</c:v>
                </c:pt>
                <c:pt idx="10">
                  <c:v>46.625</c:v>
                </c:pt>
                <c:pt idx="11">
                  <c:v>141.66666666666669</c:v>
                </c:pt>
                <c:pt idx="12">
                  <c:v>127.77222222222223</c:v>
                </c:pt>
                <c:pt idx="13">
                  <c:v>316.58333333333331</c:v>
                </c:pt>
                <c:pt idx="14">
                  <c:v>28.331666666666667</c:v>
                </c:pt>
                <c:pt idx="15">
                  <c:v>35.625</c:v>
                </c:pt>
                <c:pt idx="16">
                  <c:v>34.999000000000002</c:v>
                </c:pt>
                <c:pt idx="17">
                  <c:v>51.664999999999999</c:v>
                </c:pt>
                <c:pt idx="18">
                  <c:v>0</c:v>
                </c:pt>
                <c:pt idx="19">
                  <c:v>42.4</c:v>
                </c:pt>
                <c:pt idx="20">
                  <c:v>32.464999999999996</c:v>
                </c:pt>
                <c:pt idx="21">
                  <c:v>28.748750000000001</c:v>
                </c:pt>
                <c:pt idx="22">
                  <c:v>46.99</c:v>
                </c:pt>
                <c:pt idx="23">
                  <c:v>27.495000000000001</c:v>
                </c:pt>
                <c:pt idx="24">
                  <c:v>23.33</c:v>
                </c:pt>
                <c:pt idx="25">
                  <c:v>24.997499999999999</c:v>
                </c:pt>
                <c:pt idx="26">
                  <c:v>49.99</c:v>
                </c:pt>
                <c:pt idx="27">
                  <c:v>33.494999999999997</c:v>
                </c:pt>
                <c:pt idx="28">
                  <c:v>29.996666666666666</c:v>
                </c:pt>
                <c:pt idx="29">
                  <c:v>28.747499999999999</c:v>
                </c:pt>
                <c:pt idx="30">
                  <c:v>41.998000000000005</c:v>
                </c:pt>
                <c:pt idx="31">
                  <c:v>63.994999999999997</c:v>
                </c:pt>
                <c:pt idx="32">
                  <c:v>43.747500000000002</c:v>
                </c:pt>
                <c:pt idx="33">
                  <c:v>41.664999999999999</c:v>
                </c:pt>
                <c:pt idx="34">
                  <c:v>40.623750000000001</c:v>
                </c:pt>
                <c:pt idx="35">
                  <c:v>42.499000000000002</c:v>
                </c:pt>
                <c:pt idx="36">
                  <c:v>43.332500000000003</c:v>
                </c:pt>
                <c:pt idx="37">
                  <c:v>0</c:v>
                </c:pt>
                <c:pt idx="38">
                  <c:v>214.57916666666668</c:v>
                </c:pt>
                <c:pt idx="39">
                  <c:v>0</c:v>
                </c:pt>
                <c:pt idx="40">
                  <c:v>28.748750000000001</c:v>
                </c:pt>
                <c:pt idx="41">
                  <c:v>0</c:v>
                </c:pt>
                <c:pt idx="42">
                  <c:v>153.30000000000001</c:v>
                </c:pt>
                <c:pt idx="43">
                  <c:v>184.41</c:v>
                </c:pt>
                <c:pt idx="44">
                  <c:v>164.995</c:v>
                </c:pt>
                <c:pt idx="45">
                  <c:v>99.99</c:v>
                </c:pt>
                <c:pt idx="46">
                  <c:v>69.995000000000005</c:v>
                </c:pt>
                <c:pt idx="47">
                  <c:v>47.497500000000002</c:v>
                </c:pt>
                <c:pt idx="48">
                  <c:v>40.831666666666671</c:v>
                </c:pt>
                <c:pt idx="49">
                  <c:v>36.248750000000001</c:v>
                </c:pt>
                <c:pt idx="50">
                  <c:v>32.498750000000001</c:v>
                </c:pt>
                <c:pt idx="51">
                  <c:v>36.499000000000002</c:v>
                </c:pt>
                <c:pt idx="52">
                  <c:v>40.768333333333338</c:v>
                </c:pt>
                <c:pt idx="53">
                  <c:v>87.22</c:v>
                </c:pt>
                <c:pt idx="54">
                  <c:v>56.85</c:v>
                </c:pt>
                <c:pt idx="55">
                  <c:v>68.319999999999993</c:v>
                </c:pt>
                <c:pt idx="56">
                  <c:v>56.28</c:v>
                </c:pt>
                <c:pt idx="57">
                  <c:v>62.71</c:v>
                </c:pt>
                <c:pt idx="58">
                  <c:v>42.494999999999997</c:v>
                </c:pt>
                <c:pt idx="59">
                  <c:v>34.996666666666663</c:v>
                </c:pt>
                <c:pt idx="60">
                  <c:v>32.497500000000002</c:v>
                </c:pt>
                <c:pt idx="61">
                  <c:v>33.331666666666671</c:v>
                </c:pt>
                <c:pt idx="62">
                  <c:v>28.984999999999999</c:v>
                </c:pt>
                <c:pt idx="63">
                  <c:v>29.999000000000002</c:v>
                </c:pt>
                <c:pt idx="64">
                  <c:v>33.082500000000003</c:v>
                </c:pt>
                <c:pt idx="65">
                  <c:v>62.494999999999997</c:v>
                </c:pt>
                <c:pt idx="66">
                  <c:v>47.497500000000002</c:v>
                </c:pt>
                <c:pt idx="67">
                  <c:v>43.331666666666671</c:v>
                </c:pt>
                <c:pt idx="68">
                  <c:v>39.998750000000001</c:v>
                </c:pt>
                <c:pt idx="69">
                  <c:v>40.999000000000002</c:v>
                </c:pt>
                <c:pt idx="70">
                  <c:v>42.499166666666667</c:v>
                </c:pt>
                <c:pt idx="71">
                  <c:v>47.497500000000002</c:v>
                </c:pt>
                <c:pt idx="72">
                  <c:v>45.361666666666672</c:v>
                </c:pt>
                <c:pt idx="73">
                  <c:v>42.602499999999999</c:v>
                </c:pt>
                <c:pt idx="74">
                  <c:v>0</c:v>
                </c:pt>
                <c:pt idx="75">
                  <c:v>193.88888888888889</c:v>
                </c:pt>
                <c:pt idx="76">
                  <c:v>215.98888888888888</c:v>
                </c:pt>
                <c:pt idx="77">
                  <c:v>34.997500000000002</c:v>
                </c:pt>
                <c:pt idx="78">
                  <c:v>36.664999999999999</c:v>
                </c:pt>
                <c:pt idx="79">
                  <c:v>28.748750000000001</c:v>
                </c:pt>
                <c:pt idx="80">
                  <c:v>49.99</c:v>
                </c:pt>
                <c:pt idx="81">
                  <c:v>35.994999999999997</c:v>
                </c:pt>
                <c:pt idx="82">
                  <c:v>23.33</c:v>
                </c:pt>
                <c:pt idx="83">
                  <c:v>29.997499999999999</c:v>
                </c:pt>
                <c:pt idx="84">
                  <c:v>23.997999999999998</c:v>
                </c:pt>
                <c:pt idx="85">
                  <c:v>31.665000000000003</c:v>
                </c:pt>
                <c:pt idx="86">
                  <c:v>31.248750000000001</c:v>
                </c:pt>
                <c:pt idx="87">
                  <c:v>26.665000000000003</c:v>
                </c:pt>
                <c:pt idx="88">
                  <c:v>66.989999999999995</c:v>
                </c:pt>
                <c:pt idx="89">
                  <c:v>69.989999999999995</c:v>
                </c:pt>
                <c:pt idx="90">
                  <c:v>62.494999999999997</c:v>
                </c:pt>
                <c:pt idx="91">
                  <c:v>46.247500000000002</c:v>
                </c:pt>
                <c:pt idx="92">
                  <c:v>33.331666666666671</c:v>
                </c:pt>
                <c:pt idx="93">
                  <c:v>44.99</c:v>
                </c:pt>
                <c:pt idx="94">
                  <c:v>29.995000000000001</c:v>
                </c:pt>
                <c:pt idx="95">
                  <c:v>26.66333333333333</c:v>
                </c:pt>
                <c:pt idx="96">
                  <c:v>24.997499999999999</c:v>
                </c:pt>
                <c:pt idx="97">
                  <c:v>32.831666666666671</c:v>
                </c:pt>
                <c:pt idx="98">
                  <c:v>55.99</c:v>
                </c:pt>
                <c:pt idx="99">
                  <c:v>70.91</c:v>
                </c:pt>
                <c:pt idx="100">
                  <c:v>84.99</c:v>
                </c:pt>
                <c:pt idx="101">
                  <c:v>59.994999999999997</c:v>
                </c:pt>
                <c:pt idx="102">
                  <c:v>41.797499999999999</c:v>
                </c:pt>
                <c:pt idx="103">
                  <c:v>38.331666666666671</c:v>
                </c:pt>
                <c:pt idx="104">
                  <c:v>36.248750000000001</c:v>
                </c:pt>
                <c:pt idx="105">
                  <c:v>33.999000000000002</c:v>
                </c:pt>
                <c:pt idx="106">
                  <c:v>38.332500000000003</c:v>
                </c:pt>
                <c:pt idx="107">
                  <c:v>85.293333333333337</c:v>
                </c:pt>
                <c:pt idx="108">
                  <c:v>79.55</c:v>
                </c:pt>
                <c:pt idx="109">
                  <c:v>59.99</c:v>
                </c:pt>
                <c:pt idx="110">
                  <c:v>42.494999999999997</c:v>
                </c:pt>
                <c:pt idx="111">
                  <c:v>29.996666666666666</c:v>
                </c:pt>
                <c:pt idx="112">
                  <c:v>33.497500000000002</c:v>
                </c:pt>
                <c:pt idx="113">
                  <c:v>52.4</c:v>
                </c:pt>
                <c:pt idx="114">
                  <c:v>31.665000000000003</c:v>
                </c:pt>
                <c:pt idx="115">
                  <c:v>32.498750000000001</c:v>
                </c:pt>
                <c:pt idx="116">
                  <c:v>34.999000000000002</c:v>
                </c:pt>
                <c:pt idx="117">
                  <c:v>60.494999999999997</c:v>
                </c:pt>
                <c:pt idx="118">
                  <c:v>69.99666666666667</c:v>
                </c:pt>
                <c:pt idx="119">
                  <c:v>43.747500000000002</c:v>
                </c:pt>
                <c:pt idx="120">
                  <c:v>38.333333333333336</c:v>
                </c:pt>
                <c:pt idx="121">
                  <c:v>41</c:v>
                </c:pt>
                <c:pt idx="122">
                  <c:v>44.076999999999998</c:v>
                </c:pt>
                <c:pt idx="12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590827936"/>
        <c:axId val="590828328"/>
      </c:scatterChart>
      <c:valAx>
        <c:axId val="59082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828328"/>
        <c:crosses val="autoZero"/>
        <c:crossBetween val="midCat"/>
      </c:valAx>
      <c:valAx>
        <c:axId val="59082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82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64.644511342594" createdVersion="6" refreshedVersion="5" minRefreshableVersion="3" recordCount="115">
  <cacheSource type="worksheet">
    <worksheetSource ref="A2:AA120" sheet="Drive Table" r:id="rId2"/>
  </cacheSource>
  <cacheFields count="27">
    <cacheField name="Date" numFmtId="14">
      <sharedItems containsSemiMixedTypes="0" containsNonDate="0" containsDate="1" containsString="0" minDate="2017-09-27T00:00:00" maxDate="2017-11-23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  <cacheField name="Cost" numFmtId="164">
      <sharedItems containsString="0" containsBlank="1" containsNumber="1" minValue="44.99" maxValue="619.98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64.644512037034" createdVersion="6" refreshedVersion="5" minRefreshableVersion="3" recordCount="120">
  <cacheSource type="worksheet">
    <worksheetSource name="Table5" r:id="rId2"/>
  </cacheSource>
  <cacheFields count="28">
    <cacheField name="Date" numFmtId="14">
      <sharedItems containsSemiMixedTypes="0" containsNonDate="0" containsDate="1" containsString="0" minDate="2017-09-23T00:00:00" maxDate="2017-11-23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10500"/>
        <n v="15000"/>
        <n v="59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  <cacheField name="Cost" numFmtId="164">
      <sharedItems containsString="0" containsBlank="1" containsNumber="1" minValue="44.99" maxValue="619.98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7-11-21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59.99"/>
    <n v="26.665000000000003"/>
    <n v="195.18780000000001"/>
    <n v="32.531300000000002"/>
    <n v="6.5062600000000002"/>
  </r>
  <r>
    <d v="2017-11-0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29.99"/>
    <n v="28.748750000000001"/>
    <n v="280.58780000000002"/>
    <n v="35.073475000000002"/>
    <n v="7.0146950000000006"/>
  </r>
  <r>
    <d v="2017-11-04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7-09-27T00:00:00"/>
    <s v="HGST"/>
    <s v="Travelstar 5K1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9.99"/>
    <n v="49.99"/>
    <n v="60.9878"/>
    <n v="60.9878"/>
    <n v="12.197559999999999"/>
  </r>
  <r>
    <d v="2017-11-19T00:00:00"/>
    <s v="HGST"/>
    <s v="Travelstar 7K1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49.99"/>
    <n v="49.99"/>
    <n v="60.9878"/>
    <n v="60.9878"/>
    <n v="12.197559999999999"/>
  </r>
  <r>
    <d v="2017-11-14T00:00:00"/>
    <s v="HGST"/>
    <s v="Ultrastar 7K6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1-11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285"/>
    <n v="35.625"/>
    <n v="285"/>
    <n v="35.625"/>
    <n v="7.125"/>
  </r>
  <r>
    <d v="2017-09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49.99"/>
    <n v="34.999000000000002"/>
    <n v="349.99"/>
    <n v="34.999000000000002"/>
    <n v="6.9998000000000005"/>
  </r>
  <r>
    <d v="2017-09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619.98"/>
    <n v="51.664999999999999"/>
    <n v="619.98"/>
    <n v="51.664999999999999"/>
    <n v="10.333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m/>
    <n v="6.4"/>
    <n v="5.2"/>
    <m/>
    <n v="5.960716800000001"/>
    <n v="0.4257654857142858"/>
    <m/>
    <n v="0"/>
    <n v="0"/>
    <n v="0"/>
    <n v="0"/>
  </r>
  <r>
    <d v="2017-11-11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6.99"/>
    <n v="46.99"/>
    <n v="62.496700000000004"/>
    <n v="62.496700000000004"/>
    <n v="12.49934"/>
  </r>
  <r>
    <d v="2017-11-21T00:00:00"/>
    <s v="Seagate"/>
    <s v="BarraCuda"/>
    <x v="3"/>
    <x v="0"/>
    <x v="5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3.2433312000000005"/>
    <n v="54.99"/>
    <n v="27.495000000000001"/>
    <n v="73.136700000000005"/>
    <n v="36.568350000000002"/>
    <n v="7.3136700000000001"/>
  </r>
  <r>
    <d v="2017-11-11T00:00:00"/>
    <s v="Seagate"/>
    <s v="BarraCuda"/>
    <x v="3"/>
    <x v="0"/>
    <x v="12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7-11-11T00:00:00"/>
    <s v="Seagate"/>
    <s v="BarraCuda"/>
    <x v="3"/>
    <x v="0"/>
    <x v="0"/>
    <n v="7200"/>
    <n v="6"/>
    <n v="9.5"/>
    <n v="0.33333333333333326"/>
    <n v="190"/>
    <n v="2"/>
    <n v="300000"/>
    <n v="55"/>
    <m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0-11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6.989999999999995"/>
    <n v="33.494999999999997"/>
    <n v="89.096699999999998"/>
    <n v="44.548349999999999"/>
    <n v="8.9096700000000002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</r>
  <r>
    <d v="2017-1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7-10-11T00:00:00"/>
    <s v="Seagate"/>
    <s v="BarraCuda Pro"/>
    <x v="3"/>
    <x v="0"/>
    <x v="5"/>
    <n v="7200"/>
    <n v="4.16"/>
    <m/>
    <n v="0.33333333333333326"/>
    <n v="195"/>
    <n v="5"/>
    <n v="600000"/>
    <n v="180"/>
    <m/>
    <n v="1000000000000000"/>
    <n v="24"/>
    <n v="7.5"/>
    <n v="4.5"/>
    <n v="0.8"/>
    <n v="5.5881720000000001"/>
    <n v="2.7940860000000001"/>
    <n v="127.99"/>
    <n v="63.994999999999997"/>
    <n v="127.99"/>
    <n v="63.994999999999997"/>
    <n v="12.798999999999999"/>
  </r>
  <r>
    <d v="2017-10-11T00:00:00"/>
    <s v="Seagate"/>
    <s v="BarraCuda Pro"/>
    <x v="3"/>
    <x v="0"/>
    <x v="0"/>
    <n v="7200"/>
    <n v="4.16"/>
    <m/>
    <n v="0.33333333333333326"/>
    <n v="214"/>
    <n v="5"/>
    <n v="600000"/>
    <n v="180"/>
    <m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7-10-11T00:00:00"/>
    <s v="Seagate"/>
    <s v="BarraCuda Pro"/>
    <x v="3"/>
    <x v="0"/>
    <x v="1"/>
    <n v="7200"/>
    <n v="4.16"/>
    <m/>
    <n v="0.33333333333333326"/>
    <n v="180"/>
    <n v="5"/>
    <n v="300000"/>
    <n v="300"/>
    <m/>
    <n v="1000000000000000"/>
    <n v="24"/>
    <n v="9"/>
    <n v="7.2"/>
    <n v="0.6"/>
    <n v="8.2836432000000002"/>
    <n v="1.3806072"/>
    <n v="249.99"/>
    <n v="41.664999999999999"/>
    <n v="249.99"/>
    <n v="41.664999999999999"/>
    <n v="8.3330000000000002"/>
  </r>
  <r>
    <d v="2017-10-11T00:00:00"/>
    <s v="Seagate"/>
    <s v="BarraCuda Pro"/>
    <x v="3"/>
    <x v="0"/>
    <x v="2"/>
    <n v="7200"/>
    <n v="4.16"/>
    <m/>
    <n v="0.33333333333333326"/>
    <n v="220"/>
    <n v="5"/>
    <n v="300000"/>
    <n v="300"/>
    <m/>
    <n v="1000000000000000"/>
    <n v="24"/>
    <n v="6.8"/>
    <n v="4.5"/>
    <n v="0.8"/>
    <n v="5.4347712000000001"/>
    <n v="0.67934640000000002"/>
    <n v="324.99"/>
    <n v="40.623750000000001"/>
    <n v="324.99"/>
    <n v="40.623750000000001"/>
    <n v="8.1247500000000006"/>
  </r>
  <r>
    <d v="2017-10-11T00:00:00"/>
    <s v="Seagate"/>
    <s v="BarraCuda Pro"/>
    <x v="3"/>
    <x v="0"/>
    <x v="3"/>
    <n v="7200"/>
    <n v="4.16"/>
    <m/>
    <n v="0.33333333333333326"/>
    <n v="220"/>
    <n v="5"/>
    <n v="300000"/>
    <n v="300"/>
    <m/>
    <n v="1000000000000000"/>
    <n v="21.6"/>
    <n v="6.8"/>
    <n v="4.5"/>
    <n v="0.8"/>
    <n v="5.4347712000000001"/>
    <n v="0.54347712000000004"/>
    <n v="424.99"/>
    <n v="42.499000000000002"/>
    <n v="424.99"/>
    <n v="42.499000000000002"/>
    <n v="8.4998000000000005"/>
  </r>
  <r>
    <d v="2017-11-05T00:00:00"/>
    <s v="Seagate"/>
    <s v="BarraCuda Pro"/>
    <x v="3"/>
    <x v="0"/>
    <x v="10"/>
    <n v="7200"/>
    <m/>
    <m/>
    <n v="0.33333333333333326"/>
    <n v="250"/>
    <n v="5"/>
    <n v="300000"/>
    <n v="300"/>
    <m/>
    <m/>
    <m/>
    <m/>
    <m/>
    <m/>
    <m/>
    <m/>
    <n v="519.99"/>
    <n v="43.332500000000003"/>
    <n v="519.99"/>
    <n v="43.332500000000003"/>
    <n v="8.666500000000001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0"/>
    <n v="0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0"/>
    <n v="0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1-05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39.99"/>
    <n v="69.995000000000005"/>
    <n v="139.99"/>
    <n v="69.995000000000005"/>
    <n v="13.999000000000001"/>
  </r>
  <r>
    <d v="2017-11-05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89.99"/>
    <n v="47.497500000000002"/>
    <n v="189.99"/>
    <n v="47.497500000000002"/>
    <n v="9.4995000000000012"/>
  </r>
  <r>
    <d v="2017-11-05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44.99"/>
    <n v="40.831666666666671"/>
    <n v="244.99"/>
    <n v="40.831666666666671"/>
    <n v="8.1663333333333341"/>
  </r>
  <r>
    <d v="2017-11-05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89.99"/>
    <n v="36.248750000000001"/>
    <n v="289.99"/>
    <n v="36.248750000000001"/>
    <n v="7.24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0-19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89.22"/>
    <n v="40.768333333333338"/>
    <n v="489.22"/>
    <n v="40.768333333333338"/>
    <n v="8.153666666666668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1-05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113.7"/>
    <n v="56.85"/>
    <n v="113.7"/>
    <n v="56.85"/>
    <n v="11.370000000000001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1-05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112.56"/>
    <n v="56.28"/>
    <n v="112.56"/>
    <n v="56.28"/>
    <n v="11.256"/>
  </r>
  <r>
    <d v="2017-11-14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62.71"/>
    <n v="62.71"/>
    <n v="76.506200000000007"/>
    <n v="76.506200000000007"/>
    <n v="15.301240000000002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1-14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29.99"/>
    <n v="32.497500000000002"/>
    <n v="158.58780000000002"/>
    <n v="39.646950000000004"/>
    <n v="7.9293900000000006"/>
  </r>
  <r>
    <d v="2017-11-14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99.99"/>
    <n v="33.331666666666671"/>
    <n v="243.98780000000002"/>
    <n v="40.664633333333335"/>
    <n v="8.1329266666666662"/>
  </r>
  <r>
    <d v="2017-11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57.86"/>
    <n v="32.232500000000002"/>
    <n v="314.58920000000001"/>
    <n v="39.323650000000001"/>
    <n v="7.8647299999999998"/>
  </r>
  <r>
    <d v="2017-11-14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349.99"/>
    <n v="34.999000000000002"/>
    <n v="426.98779999999999"/>
    <n v="42.698779999999999"/>
    <n v="8.5397560000000006"/>
  </r>
  <r>
    <d v="2017-11-14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472.49"/>
    <n v="39.374166666666667"/>
    <n v="576.43780000000004"/>
    <n v="48.036483333333337"/>
    <n v="9.607296666666666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1-14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319.99"/>
    <n v="39.998750000000001"/>
    <n v="319.99"/>
    <n v="39.998750000000001"/>
    <n v="7.9997500000000006"/>
  </r>
  <r>
    <d v="2017-11-14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409.99"/>
    <n v="40.999000000000002"/>
    <n v="409.99"/>
    <n v="40.999000000000002"/>
    <n v="8.1997999999999998"/>
  </r>
  <r>
    <d v="2017-11-14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1-05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340.82"/>
    <n v="42.602499999999999"/>
    <n v="340.82"/>
    <n v="42.602499999999999"/>
    <n v="8.5205000000000002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1-05T00:00:00"/>
    <s v="Toshiba"/>
    <s v="Enterprise Performance"/>
    <x v="0"/>
    <x v="1"/>
    <x v="8"/>
    <n v="10500"/>
    <n v="2.86"/>
    <n v="4"/>
    <n v="0.94444444444444442"/>
    <n v="226"/>
    <n v="5"/>
    <m/>
    <m/>
    <n v="2000000"/>
    <n v="1E+17"/>
    <m/>
    <n v="8.6999999999999993"/>
    <n v="4"/>
    <m/>
    <n v="5.4128568000000001"/>
    <n v="3.0071426666666667"/>
    <n v="349"/>
    <n v="193.88888888888889"/>
    <n v="349"/>
    <n v="193.88888888888889"/>
    <n v="38.777777777777779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7-11-07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19.99"/>
    <n v="36.664999999999999"/>
    <n v="268.38780000000003"/>
    <n v="44.731300000000005"/>
    <n v="8.9462600000000005"/>
  </r>
  <r>
    <d v="2017-11-07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29.99"/>
    <n v="28.748750000000001"/>
    <n v="280.58780000000002"/>
    <n v="35.073475000000002"/>
    <n v="7.0146950000000006"/>
  </r>
  <r>
    <d v="2017-11-16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7-11-16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71.989999999999995"/>
    <n v="35.994999999999997"/>
    <n v="95.74669999999999"/>
    <n v="47.873349999999995"/>
    <n v="9.5746699999999993"/>
  </r>
  <r>
    <d v="2017-11-16T00:00:00"/>
    <s v="Toshiba"/>
    <s v="P300"/>
    <x v="3"/>
    <x v="0"/>
    <x v="12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7-11-16T00:00:00"/>
    <s v="Toshiba"/>
    <s v="X300"/>
    <x v="3"/>
    <x v="0"/>
    <x v="6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7-11-16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7-11-16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1-02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</r>
  <r>
    <d v="2017-11-21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9.989999999999995"/>
    <n v="69.989999999999995"/>
    <n v="69.989999999999995"/>
    <n v="69.989999999999995"/>
    <n v="13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7-11-14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</r>
  <r>
    <d v="2017-11-14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199.99"/>
    <n v="33.331666666666671"/>
    <n v="199.99"/>
    <n v="33.331666666666671"/>
    <n v="6.6663333333333341"/>
  </r>
  <r>
    <d v="2017-11-07T00:00:00"/>
    <s v="WD"/>
    <s v="Blue"/>
    <x v="3"/>
    <x v="0"/>
    <x v="4"/>
    <n v="5400"/>
    <m/>
    <m/>
    <n v="0"/>
    <n v="150"/>
    <n v="2"/>
    <n v="300000"/>
    <m/>
    <m/>
    <n v="100000000000000"/>
    <m/>
    <m/>
    <m/>
    <m/>
    <m/>
    <m/>
    <n v="44.99"/>
    <n v="44.99"/>
    <n v="59.8367"/>
    <n v="59.8367"/>
    <n v="11.96734"/>
  </r>
  <r>
    <d v="2017-11-04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7-10-25T00:00:00"/>
    <s v="WD"/>
    <s v="Blue"/>
    <x v="3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1-14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1-14T00:00:00"/>
    <s v="WD"/>
    <s v="Blue"/>
    <x v="3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5.99"/>
    <n v="55.99"/>
    <n v="74.466700000000003"/>
    <n v="74.466700000000003"/>
    <n v="14.89334"/>
  </r>
  <r>
    <d v="2017-11-14T00:00:00"/>
    <s v="WD"/>
    <s v="Blue"/>
    <x v="3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82"/>
    <n v="70.91"/>
    <n v="188.6206"/>
    <n v="94.310299999999998"/>
    <n v="18.86206"/>
  </r>
  <r>
    <d v="2017-11-16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4.99"/>
    <n v="84.99"/>
    <n v="84.99"/>
    <n v="84.99"/>
    <n v="16.997999999999998"/>
  </r>
  <r>
    <d v="2017-11-22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1-16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7.19"/>
    <n v="41.797499999999999"/>
    <n v="167.19"/>
    <n v="41.797499999999999"/>
    <n v="8.3595000000000006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1-16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1-16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1-16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59.99"/>
    <n v="38.332500000000003"/>
    <n v="459.99"/>
    <n v="38.332500000000003"/>
    <n v="7.66650000000000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7-1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</r>
  <r>
    <d v="2017-10-11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</r>
  <r>
    <d v="2017-10-11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1-21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</r>
  <r>
    <d v="2017-11-07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33.99"/>
    <n v="33.497500000000002"/>
    <n v="163.46780000000001"/>
    <n v="40.866950000000003"/>
    <n v="8.1733900000000013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7-11-11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1-18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59.99"/>
    <n v="32.498750000000001"/>
    <n v="317.18780000000004"/>
    <n v="39.648475000000005"/>
    <n v="7.9296950000000006"/>
  </r>
  <r>
    <d v="2017-11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</r>
  <r>
    <d v="2017-10-11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0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s v="Enterprise HGST drives are now"/>
  </r>
  <r>
    <d v="2017-11-21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59.99"/>
    <n v="26.665000000000003"/>
    <n v="195.18780000000001"/>
    <n v="32.531300000000002"/>
    <n v="6.5062600000000002"/>
    <s v="owned by WD"/>
  </r>
  <r>
    <d v="2017-11-0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29.99"/>
    <n v="28.748750000000001"/>
    <n v="280.58780000000002"/>
    <n v="35.073475000000002"/>
    <n v="7.0146950000000006"/>
    <m/>
  </r>
  <r>
    <d v="2017-11-04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</r>
  <r>
    <d v="2017-09-27T00:00:00"/>
    <x v="0"/>
    <s v="Travelstar 5K1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9.99"/>
    <n v="49.99"/>
    <n v="60.9878"/>
    <n v="60.9878"/>
    <n v="12.197559999999999"/>
    <m/>
  </r>
  <r>
    <d v="2017-11-19T00:00:00"/>
    <x v="0"/>
    <s v="Travelstar 7K1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9.99"/>
    <n v="49.99"/>
    <n v="60.9878"/>
    <n v="60.9878"/>
    <n v="12.197559999999999"/>
    <m/>
  </r>
  <r>
    <d v="2017-11-14T00:00:00"/>
    <x v="0"/>
    <s v="Ultrastar 7K6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m/>
  </r>
  <r>
    <d v="2017-11-14T00:00:00"/>
    <x v="0"/>
    <s v="Ultrastar 7K6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m/>
  </r>
  <r>
    <d v="2017-11-14T00:00:00"/>
    <x v="0"/>
    <s v="Ultrastar 7K600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m/>
  </r>
  <r>
    <d v="2017-11-14T00:00:00"/>
    <x v="0"/>
    <s v="Ultrastar 7K6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s v="Helium filled"/>
  </r>
  <r>
    <d v="2017-11-11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285"/>
    <n v="35.625"/>
    <n v="285"/>
    <n v="35.625"/>
    <n v="7.125"/>
    <s v="Helium filled, Media caching"/>
  </r>
  <r>
    <d v="2017-09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49.99"/>
    <n v="34.999000000000002"/>
    <n v="349.99"/>
    <n v="34.999000000000002"/>
    <n v="6.9998000000000005"/>
    <s v="Helium filled"/>
  </r>
  <r>
    <d v="2017-09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619.98"/>
    <n v="51.664999999999999"/>
    <n v="619.98"/>
    <n v="51.664999999999999"/>
    <n v="10.333"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m/>
    <n v="6.4"/>
    <n v="5.2"/>
    <m/>
    <n v="5.960716800000001"/>
    <n v="0.4257654857142858"/>
    <m/>
    <n v="0"/>
    <n v="0"/>
    <n v="0"/>
    <n v="0"/>
    <s v="Helium filled, Shingled (SMR)"/>
  </r>
  <r>
    <d v="2017-11-11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6.99"/>
    <n v="46.99"/>
    <n v="62.496700000000004"/>
    <n v="62.496700000000004"/>
    <n v="12.49934"/>
    <m/>
  </r>
  <r>
    <d v="2017-11-21T00:00:00"/>
    <x v="1"/>
    <s v="BarraCuda"/>
    <x v="3"/>
    <x v="0"/>
    <x v="5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3.2433312000000005"/>
    <n v="54.99"/>
    <n v="27.495000000000001"/>
    <n v="73.136700000000005"/>
    <n v="36.568350000000002"/>
    <n v="7.3136700000000001"/>
    <m/>
  </r>
  <r>
    <d v="2017-11-11T00:00:00"/>
    <x v="1"/>
    <s v="BarraCuda"/>
    <x v="3"/>
    <x v="0"/>
    <x v="12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m/>
  </r>
  <r>
    <d v="2017-11-11T00:00:00"/>
    <x v="1"/>
    <s v="BarraCuda"/>
    <x v="3"/>
    <x v="0"/>
    <x v="0"/>
    <x v="0"/>
    <n v="6"/>
    <n v="9.5"/>
    <n v="0.33333333333333326"/>
    <n v="190"/>
    <n v="2"/>
    <n v="300000"/>
    <n v="55"/>
    <x v="1"/>
    <n v="100000000000000"/>
    <n v="24"/>
    <n v="5"/>
    <n v="2.5"/>
    <n v="0.25"/>
    <n v="3.2871600000000001"/>
    <n v="0.82179000000000002"/>
    <n v="99.99"/>
    <n v="24.997499999999999"/>
    <n v="132.98669999999998"/>
    <n v="33.246674999999996"/>
    <n v="6.6493349999999989"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</r>
  <r>
    <d v="2017-10-11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6.989999999999995"/>
    <n v="33.494999999999997"/>
    <n v="89.096699999999998"/>
    <n v="44.548349999999999"/>
    <n v="8.9096700000000002"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  <m/>
  </r>
  <r>
    <d v="2017-1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</r>
  <r>
    <d v="2017-10-11T00:00:00"/>
    <x v="1"/>
    <s v="BarraCuda Pro"/>
    <x v="3"/>
    <x v="0"/>
    <x v="5"/>
    <x v="0"/>
    <n v="4.16"/>
    <m/>
    <n v="0.33333333333333326"/>
    <n v="195"/>
    <n v="5"/>
    <n v="600000"/>
    <n v="180"/>
    <x v="1"/>
    <n v="1000000000000000"/>
    <n v="24"/>
    <n v="7.5"/>
    <n v="4.5"/>
    <n v="0.8"/>
    <n v="5.5881720000000001"/>
    <n v="2.7940860000000001"/>
    <n v="127.99"/>
    <n v="63.994999999999997"/>
    <n v="127.99"/>
    <n v="63.994999999999997"/>
    <n v="12.798999999999999"/>
    <m/>
  </r>
  <r>
    <d v="2017-10-11T00:00:00"/>
    <x v="1"/>
    <s v="BarraCuda Pro"/>
    <x v="3"/>
    <x v="0"/>
    <x v="0"/>
    <x v="0"/>
    <n v="4.16"/>
    <m/>
    <n v="0.33333333333333326"/>
    <n v="214"/>
    <n v="5"/>
    <n v="600000"/>
    <n v="180"/>
    <x v="1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m/>
  </r>
  <r>
    <d v="2017-10-11T00:00:00"/>
    <x v="1"/>
    <s v="BarraCuda Pro"/>
    <x v="3"/>
    <x v="0"/>
    <x v="1"/>
    <x v="0"/>
    <n v="4.16"/>
    <m/>
    <n v="0.33333333333333326"/>
    <n v="180"/>
    <n v="5"/>
    <n v="300000"/>
    <n v="300"/>
    <x v="1"/>
    <n v="1000000000000000"/>
    <n v="24"/>
    <n v="9"/>
    <n v="7.2"/>
    <n v="0.6"/>
    <n v="8.2836432000000002"/>
    <n v="1.3806072"/>
    <n v="249.99"/>
    <n v="41.664999999999999"/>
    <n v="249.99"/>
    <n v="41.664999999999999"/>
    <n v="8.3330000000000002"/>
    <m/>
  </r>
  <r>
    <d v="2017-10-11T00:00:00"/>
    <x v="1"/>
    <s v="BarraCuda Pro"/>
    <x v="3"/>
    <x v="0"/>
    <x v="2"/>
    <x v="0"/>
    <n v="4.16"/>
    <m/>
    <n v="0.33333333333333326"/>
    <n v="220"/>
    <n v="5"/>
    <n v="300000"/>
    <n v="300"/>
    <x v="1"/>
    <n v="1000000000000000"/>
    <n v="24"/>
    <n v="6.8"/>
    <n v="4.5"/>
    <n v="0.8"/>
    <n v="5.4347712000000001"/>
    <n v="0.67934640000000002"/>
    <n v="324.99"/>
    <n v="40.623750000000001"/>
    <n v="324.99"/>
    <n v="40.623750000000001"/>
    <n v="8.1247500000000006"/>
    <m/>
  </r>
  <r>
    <d v="2017-10-11T00:00:00"/>
    <x v="1"/>
    <s v="BarraCuda Pro"/>
    <x v="3"/>
    <x v="0"/>
    <x v="3"/>
    <x v="0"/>
    <n v="4.16"/>
    <m/>
    <n v="0.33333333333333326"/>
    <n v="220"/>
    <n v="5"/>
    <n v="300000"/>
    <n v="300"/>
    <x v="1"/>
    <n v="1000000000000000"/>
    <n v="21.6"/>
    <n v="6.8"/>
    <n v="4.5"/>
    <n v="0.8"/>
    <n v="5.4347712000000001"/>
    <n v="0.54347712000000004"/>
    <n v="424.99"/>
    <n v="42.499000000000002"/>
    <n v="424.99"/>
    <n v="42.499000000000002"/>
    <n v="8.4998000000000005"/>
    <m/>
  </r>
  <r>
    <d v="2017-11-05T00:00:00"/>
    <x v="1"/>
    <s v="BarraCuda Pro"/>
    <x v="3"/>
    <x v="0"/>
    <x v="10"/>
    <x v="0"/>
    <m/>
    <m/>
    <n v="0.33333333333333326"/>
    <n v="250"/>
    <n v="5"/>
    <n v="300000"/>
    <n v="300"/>
    <x v="1"/>
    <m/>
    <m/>
    <m/>
    <m/>
    <m/>
    <m/>
    <m/>
    <n v="519.99"/>
    <n v="43.332500000000003"/>
    <n v="519.99"/>
    <n v="43.332500000000003"/>
    <n v="8.666500000000001"/>
    <m/>
  </r>
  <r>
    <d v="2017-10-19T00:00:00"/>
    <x v="1"/>
    <s v="Exos 10E2400"/>
    <x v="0"/>
    <x v="1"/>
    <x v="8"/>
    <x v="4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s v="16GiB NAND"/>
  </r>
  <r>
    <d v="2017-10-19T00:00:00"/>
    <x v="1"/>
    <s v="Exos 10E2400"/>
    <x v="0"/>
    <x v="1"/>
    <x v="13"/>
    <x v="4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s v="16GiB NAND"/>
  </r>
  <r>
    <d v="2017-10-19T00:00:00"/>
    <x v="1"/>
    <s v="Exos 15E900"/>
    <x v="0"/>
    <x v="0"/>
    <x v="14"/>
    <x v="5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s v="8GiB NAND"/>
  </r>
  <r>
    <d v="2017-10-19T00:00:00"/>
    <x v="1"/>
    <s v="Exos 5E8"/>
    <x v="2"/>
    <x v="0"/>
    <x v="2"/>
    <x v="6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s v="Shingled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0"/>
    <n v="0"/>
    <m/>
    <n v="0"/>
    <n v="0"/>
    <n v="0"/>
    <n v="0"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0"/>
    <n v="0"/>
    <n v="306.60000000000002"/>
    <n v="153.30000000000001"/>
    <n v="306.60000000000002"/>
    <n v="153.30000000000001"/>
    <n v="30.660000000000004"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</r>
  <r>
    <d v="2017-11-05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39.99"/>
    <n v="69.995000000000005"/>
    <n v="139.99"/>
    <n v="69.995000000000005"/>
    <n v="13.999000000000001"/>
    <m/>
  </r>
  <r>
    <d v="2017-11-05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89.99"/>
    <n v="47.497500000000002"/>
    <n v="189.99"/>
    <n v="47.497500000000002"/>
    <n v="9.4995000000000012"/>
    <m/>
  </r>
  <r>
    <d v="2017-11-05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44.99"/>
    <n v="40.831666666666671"/>
    <n v="244.99"/>
    <n v="40.831666666666671"/>
    <n v="8.1663333333333341"/>
    <m/>
  </r>
  <r>
    <d v="2017-11-05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89.99"/>
    <n v="36.248750000000001"/>
    <n v="289.99"/>
    <n v="36.248750000000001"/>
    <n v="7.2497500000000006"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s v="Helium filled"/>
  </r>
  <r>
    <d v="2017-10-19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89.22"/>
    <n v="40.768333333333338"/>
    <n v="489.22"/>
    <n v="40.768333333333338"/>
    <n v="8.153666666666668"/>
    <s v="Helium fille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s v="8GiB NAND"/>
  </r>
  <r>
    <d v="2017-11-05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113.7"/>
    <n v="56.85"/>
    <n v="113.7"/>
    <n v="56.85"/>
    <n v="11.370000000000001"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s v="8GiB NAND"/>
  </r>
  <r>
    <d v="2017-11-05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112.56"/>
    <n v="56.28"/>
    <n v="112.56"/>
    <n v="56.28"/>
    <n v="11.256"/>
    <s v="8GiB NAND"/>
  </r>
  <r>
    <d v="2017-11-14T00:00:00"/>
    <x v="1"/>
    <s v="IronWolf"/>
    <x v="0"/>
    <x v="0"/>
    <x v="4"/>
    <x v="6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62.71"/>
    <n v="62.71"/>
    <n v="76.506200000000007"/>
    <n v="76.506200000000007"/>
    <n v="15.301240000000002"/>
    <s v="8GiB NAND"/>
  </r>
  <r>
    <d v="2017-11-14T00:00:00"/>
    <x v="1"/>
    <s v="IronWolf"/>
    <x v="0"/>
    <x v="0"/>
    <x v="5"/>
    <x v="6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</r>
  <r>
    <d v="2017-11-14T00:00:00"/>
    <x v="1"/>
    <s v="IronWolf"/>
    <x v="0"/>
    <x v="0"/>
    <x v="12"/>
    <x v="6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</r>
  <r>
    <d v="2017-11-14T00:00:00"/>
    <x v="1"/>
    <s v="IronWolf"/>
    <x v="0"/>
    <x v="0"/>
    <x v="0"/>
    <x v="6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29.99"/>
    <n v="32.497500000000002"/>
    <n v="158.58780000000002"/>
    <n v="39.646950000000004"/>
    <n v="7.9293900000000006"/>
    <m/>
  </r>
  <r>
    <d v="2017-11-14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99.99"/>
    <n v="33.331666666666671"/>
    <n v="243.98780000000002"/>
    <n v="40.664633333333335"/>
    <n v="8.1329266666666662"/>
    <m/>
  </r>
  <r>
    <d v="2017-11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57.86"/>
    <n v="32.232500000000002"/>
    <n v="314.58920000000001"/>
    <n v="39.323650000000001"/>
    <n v="7.8647299999999998"/>
    <m/>
  </r>
  <r>
    <d v="2017-11-14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349.99"/>
    <n v="34.999000000000002"/>
    <n v="426.98779999999999"/>
    <n v="42.698779999999999"/>
    <n v="8.5397560000000006"/>
    <m/>
  </r>
  <r>
    <d v="2017-11-14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472.49"/>
    <n v="39.374166666666667"/>
    <n v="576.43780000000004"/>
    <n v="48.036483333333337"/>
    <n v="9.6072966666666666"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</r>
  <r>
    <d v="2017-11-14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319.99"/>
    <n v="39.998750000000001"/>
    <n v="319.99"/>
    <n v="39.998750000000001"/>
    <n v="7.9997500000000006"/>
    <m/>
  </r>
  <r>
    <d v="2017-11-14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409.99"/>
    <n v="40.999000000000002"/>
    <n v="409.99"/>
    <n v="40.999000000000002"/>
    <n v="8.1997999999999998"/>
    <m/>
  </r>
  <r>
    <d v="2017-11-14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</r>
  <r>
    <d v="2017-11-07T00:00:00"/>
    <x v="1"/>
    <s v="Terascale"/>
    <x v="0"/>
    <x v="0"/>
    <x v="0"/>
    <x v="6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s v="Flash Memory Powerloss"/>
  </r>
  <r>
    <d v="2017-11-05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340.82"/>
    <n v="42.602499999999999"/>
    <n v="340.82"/>
    <n v="42.602499999999999"/>
    <n v="8.5205000000000002"/>
    <s v="Flash Memory Powerloss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s v="Flash Memory Powerloss"/>
  </r>
  <r>
    <d v="2017-11-05T00:00:00"/>
    <x v="2"/>
    <s v="Enterprise Performance"/>
    <x v="0"/>
    <x v="1"/>
    <x v="8"/>
    <x v="4"/>
    <n v="2.86"/>
    <n v="4"/>
    <n v="0.94444444444444442"/>
    <n v="226"/>
    <n v="5"/>
    <m/>
    <m/>
    <x v="2"/>
    <n v="1E+17"/>
    <m/>
    <n v="8.6999999999999993"/>
    <n v="4"/>
    <m/>
    <n v="5.4128568000000001"/>
    <n v="3.0071426666666667"/>
    <n v="349"/>
    <n v="193.88888888888889"/>
    <n v="349"/>
    <n v="193.88888888888889"/>
    <n v="38.777777777777779"/>
    <m/>
  </r>
  <r>
    <d v="2017-11-05T00:00:00"/>
    <x v="2"/>
    <s v="Enterprise Performance"/>
    <x v="0"/>
    <x v="1"/>
    <x v="14"/>
    <x v="5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m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</r>
  <r>
    <d v="2017-11-07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19.99"/>
    <n v="36.664999999999999"/>
    <n v="268.38780000000003"/>
    <n v="44.731300000000005"/>
    <n v="8.9462600000000005"/>
    <m/>
  </r>
  <r>
    <d v="2017-11-07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29.99"/>
    <n v="28.748750000000001"/>
    <n v="280.58780000000002"/>
    <n v="35.073475000000002"/>
    <n v="7.0146950000000006"/>
    <m/>
  </r>
  <r>
    <d v="2017-11-16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m/>
  </r>
  <r>
    <d v="2017-11-16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71.989999999999995"/>
    <n v="35.994999999999997"/>
    <n v="95.74669999999999"/>
    <n v="47.873349999999995"/>
    <n v="9.5746699999999993"/>
    <m/>
  </r>
  <r>
    <d v="2017-11-16T00:00:00"/>
    <x v="2"/>
    <s v="P300"/>
    <x v="3"/>
    <x v="0"/>
    <x v="12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m/>
  </r>
  <r>
    <d v="2017-11-16T00:00:00"/>
    <x v="2"/>
    <s v="X300"/>
    <x v="3"/>
    <x v="0"/>
    <x v="6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m/>
  </r>
  <r>
    <d v="2017-11-16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m/>
  </r>
  <r>
    <d v="2017-11-16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</r>
  <r>
    <d v="2017-11-02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  <m/>
  </r>
  <r>
    <d v="2017-11-21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9.989999999999995"/>
    <n v="69.989999999999995"/>
    <n v="69.989999999999995"/>
    <n v="69.989999999999995"/>
    <n v="13.997999999999999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m/>
  </r>
  <r>
    <d v="2017-11-14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  <m/>
  </r>
  <r>
    <d v="2017-11-14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199.99"/>
    <n v="33.331666666666671"/>
    <n v="199.99"/>
    <n v="33.331666666666671"/>
    <n v="6.6663333333333341"/>
    <m/>
  </r>
  <r>
    <d v="2017-11-07T00:00:00"/>
    <x v="3"/>
    <s v="Blue"/>
    <x v="3"/>
    <x v="0"/>
    <x v="4"/>
    <x v="1"/>
    <m/>
    <m/>
    <n v="0"/>
    <n v="150"/>
    <n v="2"/>
    <n v="300000"/>
    <m/>
    <x v="1"/>
    <n v="100000000000000"/>
    <m/>
    <m/>
    <m/>
    <m/>
    <m/>
    <m/>
    <n v="44.99"/>
    <n v="44.99"/>
    <n v="59.8367"/>
    <n v="59.8367"/>
    <n v="11.96734"/>
    <m/>
  </r>
  <r>
    <d v="2017-11-04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m/>
  </r>
  <r>
    <d v="2017-10-25T00:00:00"/>
    <x v="3"/>
    <s v="Blue"/>
    <x v="3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m/>
  </r>
  <r>
    <d v="2017-11-14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m/>
  </r>
  <r>
    <d v="2017-11-14T00:00:00"/>
    <x v="3"/>
    <s v="Blue"/>
    <x v="3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5.99"/>
    <n v="55.99"/>
    <n v="74.466700000000003"/>
    <n v="74.466700000000003"/>
    <n v="14.89334"/>
    <m/>
  </r>
  <r>
    <d v="2017-11-14T00:00:00"/>
    <x v="3"/>
    <s v="Blue"/>
    <x v="3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82"/>
    <n v="70.91"/>
    <n v="188.6206"/>
    <n v="94.310299999999998"/>
    <n v="18.86206"/>
    <m/>
  </r>
  <r>
    <d v="2017-11-16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4.99"/>
    <n v="84.99"/>
    <n v="84.99"/>
    <n v="84.99"/>
    <n v="16.997999999999998"/>
    <m/>
  </r>
  <r>
    <d v="2017-11-22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m/>
  </r>
  <r>
    <d v="2017-11-16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7.19"/>
    <n v="41.797499999999999"/>
    <n v="167.19"/>
    <n v="41.797499999999999"/>
    <n v="8.359500000000000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s v="Media caching"/>
  </r>
  <r>
    <d v="2017-11-16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s v="Helium filled"/>
  </r>
  <r>
    <d v="2017-11-16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s v="Helium filled"/>
  </r>
  <r>
    <d v="2017-11-16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59.99"/>
    <n v="38.332500000000003"/>
    <n v="459.99"/>
    <n v="38.332500000000003"/>
    <n v="7.666500000000001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</r>
  <r>
    <d v="2017-1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  <m/>
  </r>
  <r>
    <d v="2017-10-11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9.99"/>
    <n v="59.99"/>
    <n v="73.18780000000001"/>
    <n v="73.18780000000001"/>
    <n v="14.637560000000002"/>
    <m/>
  </r>
  <r>
    <d v="2017-10-11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m/>
  </r>
  <r>
    <d v="2017-11-21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  <m/>
  </r>
  <r>
    <d v="2017-11-07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33.99"/>
    <n v="33.497500000000002"/>
    <n v="163.46780000000001"/>
    <n v="40.866950000000003"/>
    <n v="8.1733900000000013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</r>
  <r>
    <d v="2017-11-11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m/>
  </r>
  <r>
    <d v="2017-11-18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59.99"/>
    <n v="32.498750000000001"/>
    <n v="317.18780000000004"/>
    <n v="39.648475000000005"/>
    <n v="7.9296950000000006"/>
    <s v="Helium filled"/>
  </r>
  <r>
    <d v="2017-11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  <s v="Helium filled"/>
  </r>
  <r>
    <d v="2017-10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m/>
  </r>
  <r>
    <d v="2017-10-20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30"/>
    <n v="38.333333333333336"/>
    <n v="230"/>
    <n v="38.333333333333336"/>
    <n v="7.666666666666667"/>
    <m/>
  </r>
  <r>
    <d v="2017-10-11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28"/>
    <n v="41"/>
    <n v="328"/>
    <n v="41"/>
    <n v="8.1999999999999993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2" firstHeaderRow="1" firstDataRow="1" firstDataCol="1" rowPageCount="2" colPageCount="1"/>
  <pivotFields count="28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82">
      <pivotArea dataOnly="0" labelOnly="1" fieldPosition="0">
        <references count="1">
          <reference field="5" count="0"/>
        </references>
      </pivotArea>
    </format>
    <format dxfId="81">
      <pivotArea outline="0" collapsedLevelsAreSubtotals="1" fieldPosition="0"/>
    </format>
    <format dxfId="80">
      <pivotArea type="all" dataOnly="0" outline="0" fieldPosition="0"/>
    </format>
    <format dxfId="79">
      <pivotArea outline="0" collapsedLevelsAreSubtotals="1" fieldPosition="0"/>
    </format>
    <format dxfId="78">
      <pivotArea field="5" type="button" dataOnly="0" labelOnly="1" outline="0" axis="axisRow" fieldPosition="0"/>
    </format>
    <format dxfId="77">
      <pivotArea dataOnly="0" labelOnly="1" outline="0" axis="axisValues" fieldPosition="0"/>
    </format>
    <format dxfId="76">
      <pivotArea dataOnly="0" labelOnly="1" fieldPosition="0">
        <references count="1">
          <reference field="5" count="0"/>
        </references>
      </pivotArea>
    </format>
    <format dxfId="75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28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83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4" firstHeaderRow="1" firstDataRow="1" firstDataCol="1" rowPageCount="2" colPageCount="1"/>
  <pivotFields count="28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95">
      <pivotArea outline="0" collapsedLevelsAreSubtotals="1" fieldPosition="0"/>
    </format>
    <format dxfId="94">
      <pivotArea collapsedLevelsAreSubtotals="1" fieldPosition="0">
        <references count="1">
          <reference field="5" count="1">
            <x v="8"/>
          </reference>
        </references>
      </pivotArea>
    </format>
    <format dxfId="93">
      <pivotArea outline="0" collapsedLevelsAreSubtotals="1" fieldPosition="0"/>
    </format>
    <format dxfId="92">
      <pivotArea outline="0" collapsedLevelsAreSubtotals="1" fieldPosition="0"/>
    </format>
    <format dxfId="91">
      <pivotArea dataOnly="0" labelOnly="1" fieldPosition="0">
        <references count="1">
          <reference field="5" count="0"/>
        </references>
      </pivotArea>
    </format>
    <format dxfId="90">
      <pivotArea dataOnly="0" labelOnly="1" fieldPosition="0">
        <references count="1">
          <reference field="5" count="0"/>
        </references>
      </pivotArea>
    </format>
    <format dxfId="89">
      <pivotArea type="all" dataOnly="0" outline="0" fieldPosition="0"/>
    </format>
    <format dxfId="88">
      <pivotArea outline="0" collapsedLevelsAreSubtotals="1" fieldPosition="0"/>
    </format>
    <format dxfId="87">
      <pivotArea field="5" type="button" dataOnly="0" labelOnly="1" outline="0" axis="axisRow" fieldPosition="0"/>
    </format>
    <format dxfId="86">
      <pivotArea dataOnly="0" labelOnly="1" outline="0" axis="axisValues" fieldPosition="0"/>
    </format>
    <format dxfId="85">
      <pivotArea dataOnly="0" labelOnly="1" fieldPosition="0">
        <references count="1">
          <reference field="5" count="0"/>
        </references>
      </pivotArea>
    </format>
    <format dxfId="84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6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101">
      <pivotArea outline="0" collapsedLevelsAreSubtotals="1" fieldPosition="0"/>
    </format>
    <format dxfId="100">
      <pivotArea dataOnly="0" labelOnly="1" fieldPosition="0">
        <references count="1">
          <reference field="5" count="0"/>
        </references>
      </pivotArea>
    </format>
    <format dxfId="99">
      <pivotArea type="all" dataOnly="0" outline="0" fieldPosition="0"/>
    </format>
    <format dxfId="98">
      <pivotArea field="5" type="button" dataOnly="0" labelOnly="1" outline="0" axis="axisRow" fieldPosition="0"/>
    </format>
    <format dxfId="97">
      <pivotArea dataOnly="0" labelOnly="1" outline="0" axis="axisValues" fieldPosition="0"/>
    </format>
    <format dxfId="96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7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28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B125" totalsRowShown="0" headerRowDxfId="47" headerRowBorderDxfId="45" tableBorderDxfId="46">
  <autoFilter ref="A2:AB125"/>
  <sortState ref="A3:X91">
    <sortCondition ref="B3:B91"/>
    <sortCondition ref="C3:C91"/>
    <sortCondition ref="F3:F91"/>
    <sortCondition ref="G3:G91"/>
  </sortState>
  <tableColumns count="28">
    <tableColumn id="1" name="Date" dataDxfId="44"/>
    <tableColumn id="2" name="Manu"/>
    <tableColumn id="3" name="Model" dataDxfId="43"/>
    <tableColumn id="21" name="Type" dataDxfId="42"/>
    <tableColumn id="29" name="FormFactor" dataDxfId="41"/>
    <tableColumn id="5" name="SizTB" dataDxfId="40"/>
    <tableColumn id="4" name="RPM" dataDxfId="39"/>
    <tableColumn id="27" name="AvgLatency" dataDxfId="38"/>
    <tableColumn id="28" name="SeekT" dataDxfId="37"/>
    <tableColumn id="6" name="PerfCmp" dataDxfId="36">
      <calculatedColumnFormula>(Table5[[#This Row],[RPM]]/5400-1)</calculatedColumnFormula>
    </tableColumn>
    <tableColumn id="26" name="XferRate" dataDxfId="35"/>
    <tableColumn id="7" name="S"/>
    <tableColumn id="22" name="CycleCnt" dataDxfId="34"/>
    <tableColumn id="23" name="WorkLoad"/>
    <tableColumn id="24" name="MTBF" dataDxfId="33"/>
    <tableColumn id="25" name="RErrRate" dataDxfId="32"/>
    <tableColumn id="18" name="MaxStartupWatts" dataDxfId="31"/>
    <tableColumn id="8" name="Watts Active" dataDxfId="30"/>
    <tableColumn id="9" name="Watts Idle" dataDxfId="29"/>
    <tableColumn id="10" name="WattsStandby" dataDxfId="28"/>
    <tableColumn id="31" name="Energy$year" dataDxfId="27"/>
    <tableColumn id="30" name="Energy$yearPerTB" dataDxfId="26"/>
    <tableColumn id="11" name="Cost" dataDxfId="25"/>
    <tableColumn id="12" name="$ TB" dataDxfId="24">
      <calculatedColumnFormula>Table5[[#This Row],[Cost]]/Table5[[#This Row],[SizTB]]*Exchange_Rate</calculatedColumnFormula>
    </tableColumn>
    <tableColumn id="13" name="$+Warr" dataDxfId="9">
      <calculatedColumnFormula>Table5[[#This Row],[Cost]]+((CompareWarrYrs-Table5[[#This Row],[S]])*(Incremental_Warr_Yr*Table5[[#This Row],[Cost]]))</calculatedColumnFormula>
    </tableColumn>
    <tableColumn id="14" name="$PerTB" dataDxfId="23">
      <calculatedColumnFormula>Table5[[#This Row],[$+Warr]]/Table5[[#This Row],[SizTB]]</calculatedColumnFormula>
    </tableColumn>
    <tableColumn id="15" name="$ TB/year" dataDxfId="22">
      <calculatedColumnFormula>Table5[[#This Row],[$PerTB]]/CompareWarrYrs</calculatedColumnFormula>
    </tableColumn>
    <tableColumn id="19" name="Notes" dataDxfId="8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content/dam/toshiba-ss/asia-pacific/docs/product/storage/product-manual/eHDD-AL14SXB-product-overview.pdf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5281&amp;utm_medium=Email&amp;utm_source=IGNEFL111417&amp;cm_mmc=EMC-IGNEFL111417-_-EMC-111417-Index-_-DesktopInternalHardDrives-_-22235281-S0&amp;ignorebbr=1" TargetMode="External"/><Relationship Id="rId84" Type="http://schemas.openxmlformats.org/officeDocument/2006/relationships/hyperlink" Target="https://www.newegg.com/Product/Product.aspx?item=N82E16822179003" TargetMode="External"/><Relationship Id="rId89" Type="http://schemas.openxmlformats.org/officeDocument/2006/relationships/hyperlink" Target="https://www.newegg.com/Product/Product.aspx?item=N82E16822146076" TargetMode="External"/><Relationship Id="rId112" Type="http://schemas.openxmlformats.org/officeDocument/2006/relationships/table" Target="../tables/table1.xml"/><Relationship Id="rId2" Type="http://schemas.openxmlformats.org/officeDocument/2006/relationships/hyperlink" Target="https://www.hgst.com/products/hard-drives/nas-desktop-drive-kit" TargetMode="External"/><Relationship Id="rId16" Type="http://schemas.openxmlformats.org/officeDocument/2006/relationships/hyperlink" Target="https://www.seagate.com/enterprise-storage/exos-drives/exos-e-drives/" TargetMode="External"/><Relationship Id="rId29" Type="http://schemas.openxmlformats.org/officeDocument/2006/relationships/hyperlink" Target="http://www.hgst.com/sites/default/files/resources/HGST-Helium-Technology-BR03.pdf" TargetMode="External"/><Relationship Id="rId107" Type="http://schemas.openxmlformats.org/officeDocument/2006/relationships/hyperlink" Target="https://www.seagate.com/www-content/product-content/hdd-fam/seagate-archive-hdd/en-us/docs/archive-hdd-dS1834-3-1411us.pdf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24" Type="http://schemas.openxmlformats.org/officeDocument/2006/relationships/hyperlink" Target="https://www.seagate.com/internal-hard-drives/hdd/ironwolf/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40" Type="http://schemas.openxmlformats.org/officeDocument/2006/relationships/hyperlink" Target="http://www.toshiba.eu/Contents/Toshiba_teg/EU/Others/HDD_datasheets/X300_High-Performance_Hard_Drive_Datasheet.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53" Type="http://schemas.openxmlformats.org/officeDocument/2006/relationships/hyperlink" Target="https://www.newegg.com/Product/Product.aspx?Item=N82E16822236344&amp;utm_medium=Email&amp;utm_source=IGNEFL112117&amp;cm_mmc=EMC-IGNEFL112117-_-EMC-112117-Index-_-DesktopInternalHardDrives-_-22236344-S1A3D&amp;ignorebbr=1" TargetMode="External"/><Relationship Id="rId58" Type="http://schemas.openxmlformats.org/officeDocument/2006/relationships/hyperlink" Target="https://www.newegg.com/Product/Product.aspx?Item=9SIA99462P4004" TargetMode="External"/><Relationship Id="rId66" Type="http://schemas.openxmlformats.org/officeDocument/2006/relationships/hyperlink" Target="http://www.hgst.com/avl/src_front/compatibility.php?mode=product_pdf&amp;pid=106&amp;lang=en" TargetMode="External"/><Relationship Id="rId74" Type="http://schemas.openxmlformats.org/officeDocument/2006/relationships/hyperlink" Target="https://www.newegg.com/Product/Product.aspx?item=N82E16822236600" TargetMode="External"/><Relationship Id="rId79" Type="http://schemas.openxmlformats.org/officeDocument/2006/relationships/hyperlink" Target="https://www.newegg.com/Product/Product.aspx?item=N82E16822179100" TargetMode="External"/><Relationship Id="rId87" Type="http://schemas.openxmlformats.org/officeDocument/2006/relationships/hyperlink" Target="https://www.newegg.com/Product/Product.aspx?item=N82E16822179006" TargetMode="External"/><Relationship Id="rId102" Type="http://schemas.openxmlformats.org/officeDocument/2006/relationships/hyperlink" Target="https://www.newegg.com/Product/Product.aspx?item=N82E16822178750" TargetMode="External"/><Relationship Id="rId110" Type="http://schemas.openxmlformats.org/officeDocument/2006/relationships/drawing" Target="../drawings/drawing1.xml"/><Relationship Id="rId5" Type="http://schemas.openxmlformats.org/officeDocument/2006/relationships/hyperlink" Target="https://www.hgst.com/products/hard-drives/ultrastar-c10k1800" TargetMode="External"/><Relationship Id="rId61" Type="http://schemas.openxmlformats.org/officeDocument/2006/relationships/hyperlink" Target="https://www.newegg.com/Product/Product.aspx?item=N82E16822179007" TargetMode="External"/><Relationship Id="rId82" Type="http://schemas.openxmlformats.org/officeDocument/2006/relationships/hyperlink" Target="https://www.newegg.com/Product/Product.aspx?item=N82E16822178997" TargetMode="External"/><Relationship Id="rId90" Type="http://schemas.openxmlformats.org/officeDocument/2006/relationships/hyperlink" Target="https://www.newegg.com/Product/Product.aspx?item=N82E16822146071" TargetMode="External"/><Relationship Id="rId95" Type="http://schemas.openxmlformats.org/officeDocument/2006/relationships/hyperlink" Target="https://www.newegg.com/Product/Product.aspx?item=N82E16822232558" TargetMode="External"/><Relationship Id="rId19" Type="http://schemas.openxmlformats.org/officeDocument/2006/relationships/hyperlink" Target="https://www.wdc.com/content/dam/wdc/website/downloadable_assets/eng/spec_data_sheet/2879-800002.pdf" TargetMode="External"/><Relationship Id="rId14" Type="http://schemas.openxmlformats.org/officeDocument/2006/relationships/hyperlink" Target="https://www.seagate.com/enterprise-storage/enterprise-models/?mod=exos-x10" TargetMode="External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56" Type="http://schemas.openxmlformats.org/officeDocument/2006/relationships/hyperlink" Target="https://www.newegg.com/Product/Product.aspx?item=N82E16822149697" TargetMode="External"/><Relationship Id="rId64" Type="http://schemas.openxmlformats.org/officeDocument/2006/relationships/hyperlink" Target="http://www.tomsitpro.com/articles/wd-hgst-8tb-hdd-gold,1-3248.html" TargetMode="External"/><Relationship Id="rId69" Type="http://schemas.openxmlformats.org/officeDocument/2006/relationships/hyperlink" Target="https://www.newegg.com/Product/Product.aspx?item=N82E16822236624" TargetMode="External"/><Relationship Id="rId77" Type="http://schemas.openxmlformats.org/officeDocument/2006/relationships/hyperlink" Target="https://www.newegg.com/Product/Product.aspx?item=N82E16822179103" TargetMode="External"/><Relationship Id="rId100" Type="http://schemas.openxmlformats.org/officeDocument/2006/relationships/hyperlink" Target="http://promotions.newegg.com/NEemail/Nov-0-2017/BlackFridayElites_pr9d7gfu_21/index-landing.html?utm_medium=Email&amp;utm_source=IGNEFL112117&amp;cm_mmc=EMC-IGNEFL112117-_-EMC-112117-Index-_-Header-_-ClickHere&amp;et_cid=39611&amp;et_rid=9494051&amp;et_p1=&amp;email64=YnVkYW1hcm" TargetMode="External"/><Relationship Id="rId105" Type="http://schemas.openxmlformats.org/officeDocument/2006/relationships/hyperlink" Target="https://www.seagate.com/www-content/product-content/hdd-fam/seagate-archive-hdd/en-us/docs/archive-hdd-dS1834-3-1411us.pdf" TargetMode="External"/><Relationship Id="rId113" Type="http://schemas.openxmlformats.org/officeDocument/2006/relationships/comments" Target="../comments1.xm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72" Type="http://schemas.openxmlformats.org/officeDocument/2006/relationships/hyperlink" Target="https://www.newegg.com/Product/Product.aspx?item=N82E16822236496" TargetMode="External"/><Relationship Id="rId80" Type="http://schemas.openxmlformats.org/officeDocument/2006/relationships/hyperlink" Target="https://www.newegg.com/Product/Product.aspx?item=N82E16822179101" TargetMode="External"/><Relationship Id="rId85" Type="http://schemas.openxmlformats.org/officeDocument/2006/relationships/hyperlink" Target="https://www.newegg.com/Product/Product.aspx?item=N82E16822179004" TargetMode="External"/><Relationship Id="rId93" Type="http://schemas.openxmlformats.org/officeDocument/2006/relationships/hyperlink" Target="https://www.newegg.com/Product/Product.aspx?Item=N82E16822235131&amp;cm_re=wd_gold_enterprise-_-22-235-131-_-Product" TargetMode="External"/><Relationship Id="rId98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3" Type="http://schemas.openxmlformats.org/officeDocument/2006/relationships/hyperlink" Target="https://www.hgst.com/products/hard-drives/nas-desktop-drive-kit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59" Type="http://schemas.openxmlformats.org/officeDocument/2006/relationships/hyperlink" Target="https://www.newegg.com/Product/Product.aspx?Item=9SIA99469N9136" TargetMode="External"/><Relationship Id="rId67" Type="http://schemas.openxmlformats.org/officeDocument/2006/relationships/hyperlink" Target="https://www.goharddrive.com/HGST-Ultrastar-HE6-HUS726060ALA640-6TB-HDD-p/g01-1073.htm" TargetMode="External"/><Relationship Id="rId103" Type="http://schemas.openxmlformats.org/officeDocument/2006/relationships/hyperlink" Target="https://www.newegg.com/Product/Product.aspx?item=N82E16822178748" TargetMode="External"/><Relationship Id="rId108" Type="http://schemas.openxmlformats.org/officeDocument/2006/relationships/hyperlink" Target="http://www.hgst.com/sites/default/files/resources/UltrastarHs14-SATA-OEMSpec-R1.0.pdf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41" Type="http://schemas.openxmlformats.org/officeDocument/2006/relationships/hyperlink" Target="https://www.toshiba.eu/Contents/Toshiba_teg/EU/Others/HDD_datasheets/P300_High-Performance_Hard_Drive_Datasheet.pdf" TargetMode="External"/><Relationship Id="rId54" Type="http://schemas.openxmlformats.org/officeDocument/2006/relationships/hyperlink" Target="https://www.newegg.com/Product/Product.aspx?Item=N82E16822149695&amp;utm_medium=Email&amp;utm_source=IGNEFL110717&amp;cm_mmc=EMC-IGNEFL110717-_-EMC-110717-Index-_-DesktopInternalHardDrives-_-22149695-S1A2C&amp;ignorebbr=1" TargetMode="External"/><Relationship Id="rId62" Type="http://schemas.openxmlformats.org/officeDocument/2006/relationships/hyperlink" Target="http://www.tomsitpro.com/articles/hgst-ultrastar-c15k600-hdd,2-906-3.html" TargetMode="External"/><Relationship Id="rId70" Type="http://schemas.openxmlformats.org/officeDocument/2006/relationships/hyperlink" Target="https://www.newegg.com/Product/Product.aspx?Item=N82E16822235089&amp;utm_medium=Email&amp;utm_source=IGNEFL112117&amp;cm_mmc=EMC-IGNEFL112117-_-EMC-112117-Index-_-LaptopInternalHardDrives-_-22235089-S1A3C&amp;ignorebbr=1" TargetMode="External"/><Relationship Id="rId75" Type="http://schemas.openxmlformats.org/officeDocument/2006/relationships/hyperlink" Target="https://www.newegg.com/Product/Product.aspx?item=N82E16822236601" TargetMode="External"/><Relationship Id="rId83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88" Type="http://schemas.openxmlformats.org/officeDocument/2006/relationships/hyperlink" Target="https://www.newegg.com/Product/Product.aspx?item=N82E16822179008" TargetMode="External"/><Relationship Id="rId91" Type="http://schemas.openxmlformats.org/officeDocument/2006/relationships/hyperlink" Target="https://www.newegg.com/Product/Product.aspx?item=N82E16822146067" TargetMode="External"/><Relationship Id="rId96" Type="http://schemas.openxmlformats.org/officeDocument/2006/relationships/hyperlink" Target="https://www.newegg.com/Product/Product.aspx?item=N82E16822235058" TargetMode="External"/><Relationship Id="rId111" Type="http://schemas.openxmlformats.org/officeDocument/2006/relationships/vmlDrawing" Target="../drawings/vmlDrawing1.v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57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106" Type="http://schemas.openxmlformats.org/officeDocument/2006/relationships/hyperlink" Target="https://www.seagate.com/www-content/product-content/hdd-fam/seagate-archive-hdd/en-us/docs/archive-hdd-dS1834-3-1411us.pdf" TargetMode="External"/><Relationship Id="rId10" Type="http://schemas.openxmlformats.org/officeDocument/2006/relationships/hyperlink" Target="https://www.seagate.com/internal-hard-drives/hdd/barracuda/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hyperlink" Target="https://www.newegg.com/Product/Product.aspx?item=N82E16822236599" TargetMode="External"/><Relationship Id="rId60" Type="http://schemas.openxmlformats.org/officeDocument/2006/relationships/hyperlink" Target="https://www.newegg.com/Product/Product.aspx?Item=9SIA75M5XX1494" TargetMode="External"/><Relationship Id="rId65" Type="http://schemas.openxmlformats.org/officeDocument/2006/relationships/hyperlink" Target="https://www.hgst.com/sites/default/files/resources/UltrastarHa10-SAS-OEMSpec-r2.1.pdf" TargetMode="External"/><Relationship Id="rId73" Type="http://schemas.openxmlformats.org/officeDocument/2006/relationships/hyperlink" Target="https://www.newegg.com/Product/Product.aspx?item=1B0-0020-000G1" TargetMode="External"/><Relationship Id="rId78" Type="http://schemas.openxmlformats.org/officeDocument/2006/relationships/hyperlink" Target="https://www.newegg.com/Product/Product.aspx?item=N82E16822172026" TargetMode="External"/><Relationship Id="rId81" Type="http://schemas.openxmlformats.org/officeDocument/2006/relationships/hyperlink" Target="https://www.newegg.com/Product/Product.aspx?item=N82E16822179102" TargetMode="External"/><Relationship Id="rId86" Type="http://schemas.openxmlformats.org/officeDocument/2006/relationships/hyperlink" Target="https://www.newegg.com/Product/Product.aspx?item=N82E16822179004" TargetMode="External"/><Relationship Id="rId94" Type="http://schemas.openxmlformats.org/officeDocument/2006/relationships/hyperlink" Target="https://www.newegg.com/Product/Product.aspx?item=N82E16822232560" TargetMode="External"/><Relationship Id="rId99" Type="http://schemas.openxmlformats.org/officeDocument/2006/relationships/hyperlink" Target="https://www.newegg.com/Product/Product.aspx?item=1Z4-0002-002U9" TargetMode="External"/><Relationship Id="rId101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39" Type="http://schemas.openxmlformats.org/officeDocument/2006/relationships/hyperlink" Target="https://www.toshiba-storage.com/products/n300/?pdf" TargetMode="External"/><Relationship Id="rId109" Type="http://schemas.openxmlformats.org/officeDocument/2006/relationships/printerSettings" Target="../printerSettings/printerSettings1.bin"/><Relationship Id="rId34" Type="http://schemas.openxmlformats.org/officeDocument/2006/relationships/hyperlink" Target="http://www.hgst.com/sites/default/files/resources/HGST-Helium-Technology-BR03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hyperlink" Target="https://www.newegg.com/Product/Product.aspx?item=N82E16822149696" TargetMode="External"/><Relationship Id="rId76" Type="http://schemas.openxmlformats.org/officeDocument/2006/relationships/hyperlink" Target="https://www.newegg.com/Product/Product.aspx?item=N82E16822179131" TargetMode="External"/><Relationship Id="rId97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04" Type="http://schemas.openxmlformats.org/officeDocument/2006/relationships/hyperlink" Target="https://www.newegg.com/Product/Product.aspx?item=9SIA4A04NB8762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5128" TargetMode="External"/><Relationship Id="rId92" Type="http://schemas.openxmlformats.org/officeDocument/2006/relationships/hyperlink" Target="https://www.newegg.com/Product/Product.aspx?Item=9SIA25V4XG7457&amp;cm_re=Ultrastar_7K6000_5tb-_-9SIA25V4XG7457-_-Produc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154"/>
  <sheetViews>
    <sheetView tabSelected="1" zoomScale="96" zoomScaleNormal="96" workbookViewId="0">
      <pane ySplit="2" topLeftCell="A3" activePane="bottomLeft" state="frozen"/>
      <selection pane="bottomLeft" activeCell="Q1" sqref="Q1:V1"/>
    </sheetView>
  </sheetViews>
  <sheetFormatPr defaultRowHeight="1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7" width="9.42578125" style="3" customWidth="1"/>
    <col min="28" max="29" width="26.42578125" customWidth="1"/>
  </cols>
  <sheetData>
    <row r="1" spans="1:28" ht="15.75" thickBot="1">
      <c r="A1" s="187" t="s">
        <v>92</v>
      </c>
      <c r="B1" s="188"/>
      <c r="C1" s="188"/>
      <c r="D1" s="188"/>
      <c r="E1" s="188"/>
      <c r="F1" s="189"/>
      <c r="G1" s="184" t="s">
        <v>68</v>
      </c>
      <c r="H1" s="185"/>
      <c r="I1" s="185"/>
      <c r="J1" s="185"/>
      <c r="K1" s="186"/>
      <c r="L1" s="176" t="s">
        <v>120</v>
      </c>
      <c r="M1" s="177"/>
      <c r="N1" s="177"/>
      <c r="O1" s="177"/>
      <c r="P1" s="178"/>
      <c r="Q1" s="179" t="s">
        <v>70</v>
      </c>
      <c r="R1" s="180"/>
      <c r="S1" s="180"/>
      <c r="T1" s="180"/>
      <c r="U1" s="181"/>
      <c r="V1" s="181"/>
      <c r="W1" s="174" t="s">
        <v>141</v>
      </c>
      <c r="X1" s="175"/>
      <c r="Y1" s="172" t="s">
        <v>37</v>
      </c>
      <c r="Z1" s="173"/>
      <c r="AA1" s="208"/>
      <c r="AB1" s="38"/>
    </row>
    <row r="2" spans="1:28" s="2" customFormat="1" ht="15.75" thickBot="1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121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41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209" t="s">
        <v>41</v>
      </c>
    </row>
    <row r="3" spans="1:28" ht="15.75" thickTop="1">
      <c r="A3" s="1">
        <v>43036</v>
      </c>
      <c r="B3" t="s">
        <v>15</v>
      </c>
      <c r="C3" s="117" t="s">
        <v>16</v>
      </c>
      <c r="D3" s="31" t="s">
        <v>50</v>
      </c>
      <c r="E3" s="100">
        <v>3.5</v>
      </c>
      <c r="F3" s="86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30"/>
      <c r="U3" s="134"/>
      <c r="V3" s="134"/>
      <c r="W3" s="142">
        <f>219.99/2</f>
        <v>109.995</v>
      </c>
      <c r="X3" s="6">
        <f>Table5[[#This Row],[Cost]]/Table5[[#This Row],[SizTB]]*Exchange_Rate</f>
        <v>27.498750000000001</v>
      </c>
      <c r="Y3" s="205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84" t="s">
        <v>131</v>
      </c>
    </row>
    <row r="4" spans="1:28">
      <c r="A4" s="1">
        <v>43060</v>
      </c>
      <c r="B4" t="s">
        <v>15</v>
      </c>
      <c r="C4" s="117" t="s">
        <v>16</v>
      </c>
      <c r="D4" s="31" t="s">
        <v>50</v>
      </c>
      <c r="E4" s="100">
        <v>3.5</v>
      </c>
      <c r="F4" s="86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30"/>
      <c r="U4" s="135"/>
      <c r="V4" s="134"/>
      <c r="W4" s="143">
        <v>159.99</v>
      </c>
      <c r="X4" s="6">
        <f>Table5[[#This Row],[Cost]]/Table5[[#This Row],[SizTB]]*Exchange_Rate</f>
        <v>26.665000000000003</v>
      </c>
      <c r="Y4" s="206">
        <f>Table5[[#This Row],[Cost]]+((CompareWarrYrs-Table5[[#This Row],[S]])*(Incremental_Warr_Yr*Table5[[#This Row],[Cost]]))*Exchange_Rate</f>
        <v>195.18780000000001</v>
      </c>
      <c r="Z4" s="6">
        <f>Table5[[#This Row],[$+Warr]]/Table5[[#This Row],[SizTB]]</f>
        <v>32.531300000000002</v>
      </c>
      <c r="AA4" s="6">
        <f>Table5[[#This Row],[$PerTB]]/CompareWarrYrs</f>
        <v>6.5062600000000002</v>
      </c>
      <c r="AB4" s="85" t="s">
        <v>79</v>
      </c>
    </row>
    <row r="5" spans="1:28">
      <c r="A5" s="1">
        <v>43041</v>
      </c>
      <c r="B5" t="s">
        <v>15</v>
      </c>
      <c r="C5" s="117" t="s">
        <v>16</v>
      </c>
      <c r="D5" s="31" t="s">
        <v>50</v>
      </c>
      <c r="E5" s="100">
        <v>3.5</v>
      </c>
      <c r="F5" s="86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30"/>
      <c r="U5" s="135"/>
      <c r="V5" s="134"/>
      <c r="W5" s="142">
        <v>229.99</v>
      </c>
      <c r="X5" s="6">
        <f>Table5[[#This Row],[Cost]]/Table5[[#This Row],[SizTB]]*Exchange_Rate</f>
        <v>28.748750000000001</v>
      </c>
      <c r="Y5" s="206">
        <f>Table5[[#This Row],[Cost]]+((CompareWarrYrs-Table5[[#This Row],[S]])*(Incremental_Warr_Yr*Table5[[#This Row],[Cost]]))*Exchange_Rate</f>
        <v>280.58780000000002</v>
      </c>
      <c r="Z5" s="6">
        <f>Table5[[#This Row],[$+Warr]]/Table5[[#This Row],[SizTB]]</f>
        <v>35.073475000000002</v>
      </c>
      <c r="AA5" s="6">
        <f>Table5[[#This Row],[$PerTB]]/CompareWarrYrs</f>
        <v>7.0146950000000006</v>
      </c>
      <c r="AB5" s="44"/>
    </row>
    <row r="6" spans="1:28">
      <c r="A6" s="1">
        <v>43043</v>
      </c>
      <c r="B6" t="s">
        <v>15</v>
      </c>
      <c r="C6" s="117" t="s">
        <v>16</v>
      </c>
      <c r="D6" s="31" t="s">
        <v>50</v>
      </c>
      <c r="E6" s="100">
        <v>3.5</v>
      </c>
      <c r="F6" s="86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30"/>
      <c r="U6" s="135"/>
      <c r="V6" s="134"/>
      <c r="W6" s="142">
        <v>299.99</v>
      </c>
      <c r="X6" s="6">
        <f>Table5[[#This Row],[Cost]]/Table5[[#This Row],[SizTB]]*Exchange_Rate</f>
        <v>29.999000000000002</v>
      </c>
      <c r="Y6" s="206">
        <f>Table5[[#This Row],[Cost]]+((CompareWarrYrs-Table5[[#This Row],[S]])*(Incremental_Warr_Yr*Table5[[#This Row],[Cost]]))*Exchange_Rate</f>
        <v>365.98779999999999</v>
      </c>
      <c r="Z6" s="6">
        <f>Table5[[#This Row],[$+Warr]]/Table5[[#This Row],[SizTB]]</f>
        <v>36.598779999999998</v>
      </c>
      <c r="AA6" s="6">
        <f>Table5[[#This Row],[$PerTB]]/CompareWarrYrs</f>
        <v>7.3197559999999999</v>
      </c>
      <c r="AB6" s="44"/>
    </row>
    <row r="7" spans="1:28">
      <c r="A7" s="1">
        <v>43005</v>
      </c>
      <c r="B7" t="s">
        <v>15</v>
      </c>
      <c r="C7" s="117" t="s">
        <v>91</v>
      </c>
      <c r="D7" s="31" t="s">
        <v>133</v>
      </c>
      <c r="E7" s="100">
        <v>2.5</v>
      </c>
      <c r="F7" s="86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30">
        <v>0.2</v>
      </c>
      <c r="U7" s="134">
        <f>(((Table5[[#This Row],[Watts Active]]*Power_On_Hours_Year/1000)*Active_Duty_Cycle)+((Table5[[#This Row],[Watts Idle]]*Power_On_Hours_Year/1000)*(100%-Active_Duty_Cycle)))*CostPerKWH</f>
        <v>1.0518912</v>
      </c>
      <c r="V7" s="134">
        <f>Table5[Energy$year]/Table5[[#This Row],[SizTB]]</f>
        <v>1.0518912</v>
      </c>
      <c r="W7" s="142">
        <v>49.99</v>
      </c>
      <c r="X7" s="6">
        <f>Table5[[#This Row],[Cost]]/Table5[[#This Row],[SizTB]]*Exchange_Rate</f>
        <v>49.99</v>
      </c>
      <c r="Y7" s="206">
        <f>Table5[[#This Row],[Cost]]+((CompareWarrYrs-Table5[[#This Row],[S]])*(Incremental_Warr_Yr*Table5[[#This Row],[Cost]]))*Exchange_Rate</f>
        <v>60.9878</v>
      </c>
      <c r="Z7" s="6">
        <f>Table5[[#This Row],[$+Warr]]/Table5[[#This Row],[SizTB]]</f>
        <v>60.9878</v>
      </c>
      <c r="AA7" s="6">
        <f>Table5[[#This Row],[$PerTB]]/CompareWarrYrs</f>
        <v>12.197559999999999</v>
      </c>
      <c r="AB7" s="44"/>
    </row>
    <row r="8" spans="1:28">
      <c r="A8" s="1">
        <v>43058</v>
      </c>
      <c r="B8" t="s">
        <v>15</v>
      </c>
      <c r="C8" s="117" t="s">
        <v>90</v>
      </c>
      <c r="D8" s="31" t="s">
        <v>133</v>
      </c>
      <c r="E8" s="100">
        <v>2.5</v>
      </c>
      <c r="F8" s="86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30">
        <v>0.2</v>
      </c>
      <c r="U8" s="134">
        <f>(((Table5[[#This Row],[Watts Active]]*Power_On_Hours_Year/1000)*Active_Duty_Cycle)+((Table5[[#This Row],[Watts Idle]]*Power_On_Hours_Year/1000)*(100%-Active_Duty_Cycle)))*CostPerKWH</f>
        <v>2.3448408000000001</v>
      </c>
      <c r="V8" s="134">
        <f>Table5[Energy$year]/Table5[[#This Row],[SizTB]]</f>
        <v>2.3448408000000001</v>
      </c>
      <c r="W8" s="143">
        <v>49.99</v>
      </c>
      <c r="X8" s="6">
        <f>Table5[[#This Row],[Cost]]/Table5[[#This Row],[SizTB]]*Exchange_Rate</f>
        <v>49.99</v>
      </c>
      <c r="Y8" s="206">
        <f>Table5[[#This Row],[Cost]]+((CompareWarrYrs-Table5[[#This Row],[S]])*(Incremental_Warr_Yr*Table5[[#This Row],[Cost]]))*Exchange_Rate</f>
        <v>60.9878</v>
      </c>
      <c r="Z8" s="6">
        <f>Table5[[#This Row],[$+Warr]]/Table5[[#This Row],[SizTB]]</f>
        <v>60.9878</v>
      </c>
      <c r="AA8" s="6">
        <f>Table5[[#This Row],[$PerTB]]/CompareWarrYrs</f>
        <v>12.197559999999999</v>
      </c>
      <c r="AB8" s="44"/>
    </row>
    <row r="9" spans="1:28">
      <c r="A9" s="1">
        <v>43053</v>
      </c>
      <c r="B9" t="s">
        <v>15</v>
      </c>
      <c r="C9" s="117" t="s">
        <v>127</v>
      </c>
      <c r="D9" s="31" t="s">
        <v>50</v>
      </c>
      <c r="E9" s="100">
        <v>3.5</v>
      </c>
      <c r="F9" s="86">
        <v>2</v>
      </c>
      <c r="G9" s="46">
        <v>7200</v>
      </c>
      <c r="H9" s="5">
        <v>4.16</v>
      </c>
      <c r="I9" s="5">
        <v>8</v>
      </c>
      <c r="J9" s="65">
        <f>(Table5[[#This Row],[RPM]]/5400-1)</f>
        <v>0.33333333333333326</v>
      </c>
      <c r="K9" s="49">
        <v>192</v>
      </c>
      <c r="L9">
        <v>5</v>
      </c>
      <c r="M9" s="40">
        <v>600000</v>
      </c>
      <c r="O9" s="40">
        <v>2000000</v>
      </c>
      <c r="P9" s="39">
        <v>1000000000000000</v>
      </c>
      <c r="Q9" s="57"/>
      <c r="R9" s="5">
        <v>9.1</v>
      </c>
      <c r="S9" s="5">
        <v>7.1</v>
      </c>
      <c r="T9" s="130"/>
      <c r="U9" s="134">
        <f>(((Table5[[#This Row],[Watts Active]]*Power_On_Hours_Year/1000)*Active_Duty_Cycle)+((Table5[[#This Row],[Watts Idle]]*Power_On_Hours_Year/1000)*(100%-Active_Duty_Cycle)))*CostPerKWH</f>
        <v>8.2179000000000002</v>
      </c>
      <c r="V9" s="134">
        <f>Table5[Energy$year]/Table5[[#This Row],[SizTB]]</f>
        <v>4.1089500000000001</v>
      </c>
      <c r="W9" s="143">
        <v>146.38</v>
      </c>
      <c r="X9" s="6">
        <f>Table5[[#This Row],[Cost]]/Table5[[#This Row],[SizTB]]*Exchange_Rate</f>
        <v>73.19</v>
      </c>
      <c r="Y9" s="206">
        <f>Table5[[#This Row],[Cost]]+((CompareWarrYrs-Table5[[#This Row],[S]])*(Incremental_Warr_Yr*Table5[[#This Row],[Cost]]))*Exchange_Rate</f>
        <v>146.38</v>
      </c>
      <c r="Z9" s="6">
        <f>Table5[[#This Row],[$+Warr]]/Table5[[#This Row],[SizTB]]</f>
        <v>73.19</v>
      </c>
      <c r="AA9" s="6">
        <f>Table5[[#This Row],[$PerTB]]/CompareWarrYrs</f>
        <v>14.638</v>
      </c>
      <c r="AB9" s="44"/>
    </row>
    <row r="10" spans="1:28">
      <c r="A10" s="1">
        <v>43053</v>
      </c>
      <c r="B10" t="s">
        <v>15</v>
      </c>
      <c r="C10" s="117" t="s">
        <v>127</v>
      </c>
      <c r="D10" s="31" t="s">
        <v>50</v>
      </c>
      <c r="E10" s="100">
        <v>3.5</v>
      </c>
      <c r="F10" s="86">
        <v>4</v>
      </c>
      <c r="G10" s="46">
        <v>7200</v>
      </c>
      <c r="H10" s="5">
        <v>4.16</v>
      </c>
      <c r="I10" s="5">
        <v>8</v>
      </c>
      <c r="J10" s="65">
        <f>(Table5[[#This Row],[RPM]]/5400-1)</f>
        <v>0.33333333333333326</v>
      </c>
      <c r="K10" s="49">
        <v>192</v>
      </c>
      <c r="L10">
        <v>5</v>
      </c>
      <c r="M10" s="40">
        <v>600000</v>
      </c>
      <c r="O10" s="40">
        <v>2000000</v>
      </c>
      <c r="P10" s="39">
        <v>1000000000000000</v>
      </c>
      <c r="Q10" s="57"/>
      <c r="R10" s="5">
        <v>9.1</v>
      </c>
      <c r="S10" s="5">
        <v>7.1</v>
      </c>
      <c r="T10" s="130"/>
      <c r="U10" s="134">
        <f>(((Table5[[#This Row],[Watts Active]]*Power_On_Hours_Year/1000)*Active_Duty_Cycle)+((Table5[[#This Row],[Watts Idle]]*Power_On_Hours_Year/1000)*(100%-Active_Duty_Cycle)))*CostPerKWH</f>
        <v>8.2179000000000002</v>
      </c>
      <c r="V10" s="134">
        <f>Table5[Energy$year]/Table5[[#This Row],[SizTB]]</f>
        <v>2.0544750000000001</v>
      </c>
      <c r="W10" s="143">
        <v>194.85</v>
      </c>
      <c r="X10" s="6">
        <f>Table5[[#This Row],[Cost]]/Table5[[#This Row],[SizTB]]*Exchange_Rate</f>
        <v>48.712499999999999</v>
      </c>
      <c r="Y10" s="206">
        <f>Table5[[#This Row],[Cost]]+((CompareWarrYrs-Table5[[#This Row],[S]])*(Incremental_Warr_Yr*Table5[[#This Row],[Cost]]))*Exchange_Rate</f>
        <v>194.85</v>
      </c>
      <c r="Z10" s="6">
        <f>Table5[[#This Row],[$+Warr]]/Table5[[#This Row],[SizTB]]</f>
        <v>48.712499999999999</v>
      </c>
      <c r="AA10" s="6">
        <f>Table5[[#This Row],[$PerTB]]/CompareWarrYrs</f>
        <v>9.7424999999999997</v>
      </c>
      <c r="AB10" s="44"/>
    </row>
    <row r="11" spans="1:28">
      <c r="A11" s="1">
        <v>43053</v>
      </c>
      <c r="B11" t="s">
        <v>15</v>
      </c>
      <c r="C11" s="117" t="s">
        <v>127</v>
      </c>
      <c r="D11" s="31" t="s">
        <v>50</v>
      </c>
      <c r="E11" s="100">
        <v>3.5</v>
      </c>
      <c r="F11" s="86">
        <v>5</v>
      </c>
      <c r="G11" s="46">
        <v>7200</v>
      </c>
      <c r="H11" s="5">
        <v>4.16</v>
      </c>
      <c r="I11" s="5">
        <v>8</v>
      </c>
      <c r="J11" s="65">
        <f>(Table5[[#This Row],[RPM]]/5400-1)</f>
        <v>0.33333333333333326</v>
      </c>
      <c r="K11" s="49">
        <v>192</v>
      </c>
      <c r="L11">
        <v>5</v>
      </c>
      <c r="M11" s="40">
        <v>600000</v>
      </c>
      <c r="O11" s="40">
        <v>2000000</v>
      </c>
      <c r="P11" s="39">
        <v>1000000000000000</v>
      </c>
      <c r="Q11" s="57"/>
      <c r="R11" s="5">
        <v>9.1</v>
      </c>
      <c r="S11" s="5">
        <v>7.1</v>
      </c>
      <c r="T11" s="130"/>
      <c r="U11" s="134">
        <f>(((Table5[[#This Row],[Watts Active]]*Power_On_Hours_Year/1000)*Active_Duty_Cycle)+((Table5[[#This Row],[Watts Idle]]*Power_On_Hours_Year/1000)*(100%-Active_Duty_Cycle)))*CostPerKWH</f>
        <v>8.2179000000000002</v>
      </c>
      <c r="V11" s="134">
        <f>Table5[Energy$year]/Table5[[#This Row],[SizTB]]</f>
        <v>1.64358</v>
      </c>
      <c r="W11" s="143">
        <v>281.95999999999998</v>
      </c>
      <c r="X11" s="6">
        <f>Table5[[#This Row],[Cost]]/Table5[[#This Row],[SizTB]]*Exchange_Rate</f>
        <v>56.391999999999996</v>
      </c>
      <c r="Y11" s="206">
        <f>Table5[[#This Row],[Cost]]+((CompareWarrYrs-Table5[[#This Row],[S]])*(Incremental_Warr_Yr*Table5[[#This Row],[Cost]]))*Exchange_Rate</f>
        <v>281.95999999999998</v>
      </c>
      <c r="Z11" s="6">
        <f>Table5[[#This Row],[$+Warr]]/Table5[[#This Row],[SizTB]]</f>
        <v>56.391999999999996</v>
      </c>
      <c r="AA11" s="6">
        <f>Table5[[#This Row],[$PerTB]]/CompareWarrYrs</f>
        <v>11.2784</v>
      </c>
      <c r="AB11" s="44"/>
    </row>
    <row r="12" spans="1:28">
      <c r="A12" s="1">
        <v>43053</v>
      </c>
      <c r="B12" t="s">
        <v>15</v>
      </c>
      <c r="C12" s="117" t="s">
        <v>127</v>
      </c>
      <c r="D12" s="31" t="s">
        <v>50</v>
      </c>
      <c r="E12" s="100">
        <v>3.5</v>
      </c>
      <c r="F12" s="86">
        <v>6</v>
      </c>
      <c r="G12" s="46">
        <v>7200</v>
      </c>
      <c r="H12" s="5">
        <v>4.16</v>
      </c>
      <c r="I12" s="5">
        <v>8</v>
      </c>
      <c r="J12" s="65">
        <f>(Table5[[#This Row],[RPM]]/5400-1)</f>
        <v>0.33333333333333326</v>
      </c>
      <c r="K12" s="49">
        <v>216</v>
      </c>
      <c r="L12">
        <v>5</v>
      </c>
      <c r="M12" s="40">
        <v>600000</v>
      </c>
      <c r="O12" s="40">
        <v>2000000</v>
      </c>
      <c r="P12" s="39">
        <v>1000000000000000</v>
      </c>
      <c r="Q12" s="57"/>
      <c r="R12" s="5">
        <v>9.1</v>
      </c>
      <c r="S12" s="5">
        <v>7.1</v>
      </c>
      <c r="T12" s="130"/>
      <c r="U12" s="134">
        <f>(((Table5[[#This Row],[Watts Active]]*Power_On_Hours_Year/1000)*Active_Duty_Cycle)+((Table5[[#This Row],[Watts Idle]]*Power_On_Hours_Year/1000)*(100%-Active_Duty_Cycle)))*CostPerKWH</f>
        <v>8.2179000000000002</v>
      </c>
      <c r="V12" s="134">
        <f>Table5[Energy$year]/Table5[[#This Row],[SizTB]]</f>
        <v>1.36965</v>
      </c>
      <c r="W12" s="143">
        <v>257.62</v>
      </c>
      <c r="X12" s="6">
        <f>Table5[[#This Row],[Cost]]/Table5[[#This Row],[SizTB]]*Exchange_Rate</f>
        <v>42.936666666666667</v>
      </c>
      <c r="Y12" s="206">
        <f>Table5[[#This Row],[Cost]]+((CompareWarrYrs-Table5[[#This Row],[S]])*(Incremental_Warr_Yr*Table5[[#This Row],[Cost]]))*Exchange_Rate</f>
        <v>257.62</v>
      </c>
      <c r="Z12" s="6">
        <f>Table5[[#This Row],[$+Warr]]/Table5[[#This Row],[SizTB]]</f>
        <v>42.936666666666667</v>
      </c>
      <c r="AA12" s="6">
        <f>Table5[[#This Row],[$PerTB]]/CompareWarrYrs</f>
        <v>8.5873333333333335</v>
      </c>
      <c r="AB12" s="44"/>
    </row>
    <row r="13" spans="1:28">
      <c r="A13" s="1">
        <v>43033</v>
      </c>
      <c r="B13" t="s">
        <v>15</v>
      </c>
      <c r="C13" s="117" t="s">
        <v>125</v>
      </c>
      <c r="D13" s="31" t="s">
        <v>114</v>
      </c>
      <c r="E13" s="100">
        <v>3.5</v>
      </c>
      <c r="F13" s="86">
        <v>8</v>
      </c>
      <c r="G13" s="46">
        <v>7200</v>
      </c>
      <c r="H13" s="5">
        <v>4.16</v>
      </c>
      <c r="I13" s="5">
        <v>8.5</v>
      </c>
      <c r="J13" s="65">
        <f>(Table5[[#This Row],[RPM]]/5400-1)</f>
        <v>0.33333333333333326</v>
      </c>
      <c r="K13" s="49">
        <v>157</v>
      </c>
      <c r="L13">
        <v>5</v>
      </c>
      <c r="M13" s="40">
        <v>600000</v>
      </c>
      <c r="O13" s="40">
        <v>2000000</v>
      </c>
      <c r="P13" s="39">
        <v>1000000000000000</v>
      </c>
      <c r="Q13" s="57"/>
      <c r="R13" s="5">
        <v>7.6</v>
      </c>
      <c r="S13" s="5">
        <v>5.0999999999999996</v>
      </c>
      <c r="T13" s="130"/>
      <c r="U13" s="134">
        <f>(((Table5[[#This Row],[Watts Active]]*Power_On_Hours_Year/1000)*Active_Duty_Cycle)+((Table5[[#This Row],[Watts Idle]]*Power_On_Hours_Year/1000)*(100%-Active_Duty_Cycle)))*CostPerKWH</f>
        <v>6.1360319999999993</v>
      </c>
      <c r="V13" s="134">
        <f>Table5[Energy$year]/Table5[[#This Row],[SizTB]]</f>
        <v>0.76700399999999991</v>
      </c>
      <c r="W13" s="142">
        <v>373</v>
      </c>
      <c r="X13" s="6">
        <f>Table5[[#This Row],[Cost]]/Table5[[#This Row],[SizTB]]*Exchange_Rate</f>
        <v>46.625</v>
      </c>
      <c r="Y13" s="206">
        <f>Table5[[#This Row],[Cost]]+((CompareWarrYrs-Table5[[#This Row],[S]])*(Incremental_Warr_Yr*Table5[[#This Row],[Cost]]))*Exchange_Rate</f>
        <v>373</v>
      </c>
      <c r="Z13" s="6">
        <f>Table5[[#This Row],[$+Warr]]/Table5[[#This Row],[SizTB]]</f>
        <v>46.625</v>
      </c>
      <c r="AA13" s="6">
        <f>Table5[[#This Row],[$PerTB]]/CompareWarrYrs</f>
        <v>9.3249999999999993</v>
      </c>
      <c r="AB13" s="124" t="s">
        <v>100</v>
      </c>
    </row>
    <row r="14" spans="1:28">
      <c r="A14" s="1">
        <v>43047</v>
      </c>
      <c r="B14" t="s">
        <v>15</v>
      </c>
      <c r="C14" s="117" t="s">
        <v>101</v>
      </c>
      <c r="D14" s="115" t="s">
        <v>50</v>
      </c>
      <c r="E14" s="100">
        <v>2.5</v>
      </c>
      <c r="F14" s="86">
        <v>1.2</v>
      </c>
      <c r="G14" s="46">
        <v>10520</v>
      </c>
      <c r="H14" s="5">
        <v>2.85</v>
      </c>
      <c r="I14" s="5">
        <v>4.4000000000000004</v>
      </c>
      <c r="J14" s="65">
        <f>(Table5[[#This Row],[RPM]]/5400-1)</f>
        <v>0.94814814814814818</v>
      </c>
      <c r="K14" s="49">
        <v>224</v>
      </c>
      <c r="L14">
        <v>5</v>
      </c>
      <c r="M14" s="40"/>
      <c r="O14" s="40">
        <v>2000000</v>
      </c>
      <c r="P14" s="39">
        <v>1E+16</v>
      </c>
      <c r="Q14" s="57"/>
      <c r="R14" s="5">
        <v>6.5</v>
      </c>
      <c r="S14" s="5">
        <v>4.7</v>
      </c>
      <c r="T14" s="130"/>
      <c r="U14" s="134">
        <f>(((Table5[[#This Row],[Watts Active]]*Power_On_Hours_Year/1000)*Active_Duty_Cycle)+((Table5[[#This Row],[Watts Idle]]*Power_On_Hours_Year/1000)*(100%-Active_Duty_Cycle)))*CostPerKWH</f>
        <v>5.5443432000000001</v>
      </c>
      <c r="V14" s="134">
        <f>Table5[Energy$year]/Table5[[#This Row],[SizTB]]</f>
        <v>4.6202860000000001</v>
      </c>
      <c r="W14" s="143">
        <v>170</v>
      </c>
      <c r="X14" s="6">
        <f>Table5[[#This Row],[Cost]]/Table5[[#This Row],[SizTB]]*Exchange_Rate</f>
        <v>141.66666666666669</v>
      </c>
      <c r="Y14" s="206">
        <f>Table5[[#This Row],[Cost]]+((CompareWarrYrs-Table5[[#This Row],[S]])*(Incremental_Warr_Yr*Table5[[#This Row],[Cost]]))*Exchange_Rate</f>
        <v>170</v>
      </c>
      <c r="Z14" s="6">
        <f>Table5[[#This Row],[$+Warr]]/Table5[[#This Row],[SizTB]]</f>
        <v>141.66666666666669</v>
      </c>
      <c r="AA14" s="6">
        <f>Table5[[#This Row],[$PerTB]]/CompareWarrYrs</f>
        <v>28.333333333333336</v>
      </c>
      <c r="AB14" s="44"/>
    </row>
    <row r="15" spans="1:28">
      <c r="A15" s="1">
        <v>43047</v>
      </c>
      <c r="B15" t="s">
        <v>15</v>
      </c>
      <c r="C15" s="117" t="s">
        <v>88</v>
      </c>
      <c r="D15" s="115" t="s">
        <v>50</v>
      </c>
      <c r="E15" s="100">
        <v>2.5</v>
      </c>
      <c r="F15" s="86">
        <v>1.8</v>
      </c>
      <c r="G15" s="46">
        <v>10520</v>
      </c>
      <c r="H15" s="5">
        <v>2.85</v>
      </c>
      <c r="I15" s="5">
        <v>4.4000000000000004</v>
      </c>
      <c r="J15" s="65">
        <f>(Table5[[#This Row],[RPM]]/5400-1)</f>
        <v>0.94814814814814818</v>
      </c>
      <c r="K15" s="49">
        <v>224</v>
      </c>
      <c r="L15">
        <v>5</v>
      </c>
      <c r="M15" s="40"/>
      <c r="O15" s="40">
        <v>2000000</v>
      </c>
      <c r="P15" s="39">
        <v>1E+16</v>
      </c>
      <c r="Q15" s="57"/>
      <c r="R15" s="5">
        <v>6.6</v>
      </c>
      <c r="S15" s="5">
        <v>4.7</v>
      </c>
      <c r="T15" s="130"/>
      <c r="U15" s="134">
        <f>(((Table5[[#This Row],[Watts Active]]*Power_On_Hours_Year/1000)*Active_Duty_Cycle)+((Table5[[#This Row],[Watts Idle]]*Power_On_Hours_Year/1000)*(100%-Active_Duty_Cycle)))*CostPerKWH</f>
        <v>5.5662576000000001</v>
      </c>
      <c r="V15" s="134">
        <f>Table5[Energy$year]/Table5[[#This Row],[SizTB]]</f>
        <v>3.0923653333333334</v>
      </c>
      <c r="W15" s="143">
        <v>229.99</v>
      </c>
      <c r="X15" s="6">
        <f>Table5[[#This Row],[Cost]]/Table5[[#This Row],[SizTB]]*Exchange_Rate</f>
        <v>127.77222222222223</v>
      </c>
      <c r="Y15" s="206">
        <f>Table5[[#This Row],[Cost]]+((CompareWarrYrs-Table5[[#This Row],[S]])*(Incremental_Warr_Yr*Table5[[#This Row],[Cost]]))*Exchange_Rate</f>
        <v>229.99</v>
      </c>
      <c r="Z15" s="6">
        <f>Table5[[#This Row],[$+Warr]]/Table5[[#This Row],[SizTB]]</f>
        <v>127.77222222222223</v>
      </c>
      <c r="AA15" s="6">
        <f>Table5[[#This Row],[$PerTB]]/CompareWarrYrs</f>
        <v>25.554444444444446</v>
      </c>
      <c r="AB15" s="44"/>
    </row>
    <row r="16" spans="1:28">
      <c r="A16" s="1">
        <v>43050</v>
      </c>
      <c r="B16" t="s">
        <v>15</v>
      </c>
      <c r="C16" s="117" t="s">
        <v>89</v>
      </c>
      <c r="D16" s="115" t="s">
        <v>50</v>
      </c>
      <c r="E16" s="100">
        <v>2.5</v>
      </c>
      <c r="F16" s="86">
        <v>0.6</v>
      </c>
      <c r="G16" s="46">
        <v>15030</v>
      </c>
      <c r="H16" s="5">
        <v>1.99</v>
      </c>
      <c r="I16" s="5">
        <v>3.1</v>
      </c>
      <c r="J16" s="65">
        <f>(Table5[[#This Row],[RPM]]/5400-1)</f>
        <v>1.7833333333333332</v>
      </c>
      <c r="K16" s="49">
        <v>250</v>
      </c>
      <c r="L16">
        <v>5</v>
      </c>
      <c r="M16" s="40"/>
      <c r="O16" s="40">
        <v>2000000</v>
      </c>
      <c r="P16" s="39">
        <v>1E+17</v>
      </c>
      <c r="Q16" s="57"/>
      <c r="R16" s="5">
        <v>7.5</v>
      </c>
      <c r="S16" s="5">
        <v>5.8</v>
      </c>
      <c r="T16" s="130"/>
      <c r="U16" s="134">
        <f>(((Table5[[#This Row],[Watts Active]]*Power_On_Hours_Year/1000)*Active_Duty_Cycle)+((Table5[[#This Row],[Watts Idle]]*Power_On_Hours_Year/1000)*(100%-Active_Duty_Cycle)))*CostPerKWH</f>
        <v>6.7277208000000002</v>
      </c>
      <c r="V16" s="134">
        <f>Table5[Energy$year]/Table5[[#This Row],[SizTB]]</f>
        <v>11.212868</v>
      </c>
      <c r="W16" s="143">
        <v>189.95</v>
      </c>
      <c r="X16" s="6">
        <f>Table5[[#This Row],[Cost]]/Table5[[#This Row],[SizTB]]*Exchange_Rate</f>
        <v>316.58333333333331</v>
      </c>
      <c r="Y16" s="206">
        <f>Table5[[#This Row],[Cost]]+((CompareWarrYrs-Table5[[#This Row],[S]])*(Incremental_Warr_Yr*Table5[[#This Row],[Cost]]))*Exchange_Rate</f>
        <v>189.95</v>
      </c>
      <c r="Z16" s="6">
        <f>Table5[[#This Row],[$+Warr]]/Table5[[#This Row],[SizTB]]</f>
        <v>316.58333333333331</v>
      </c>
      <c r="AA16" s="6">
        <f>Table5[[#This Row],[$PerTB]]/CompareWarrYrs</f>
        <v>63.316666666666663</v>
      </c>
      <c r="AB16" s="124" t="s">
        <v>130</v>
      </c>
    </row>
    <row r="17" spans="1:28">
      <c r="A17" s="1">
        <v>43019</v>
      </c>
      <c r="B17" t="s">
        <v>15</v>
      </c>
      <c r="C17" s="117" t="s">
        <v>126</v>
      </c>
      <c r="D17" s="31" t="s">
        <v>50</v>
      </c>
      <c r="E17" s="100">
        <v>3.5</v>
      </c>
      <c r="F17" s="86">
        <v>6</v>
      </c>
      <c r="G17" s="46">
        <v>7200</v>
      </c>
      <c r="H17" s="5">
        <v>4.16</v>
      </c>
      <c r="I17" s="5">
        <v>9</v>
      </c>
      <c r="J17" s="65">
        <f>(Table5[[#This Row],[RPM]]/5400-1)</f>
        <v>0.33333333333333326</v>
      </c>
      <c r="K17" s="49">
        <v>195</v>
      </c>
      <c r="L17">
        <v>5</v>
      </c>
      <c r="M17" s="40">
        <v>600000</v>
      </c>
      <c r="N17">
        <v>550</v>
      </c>
      <c r="O17" s="40">
        <v>2500000</v>
      </c>
      <c r="P17" s="39">
        <v>1000000000000000</v>
      </c>
      <c r="Q17" s="57"/>
      <c r="R17" s="5">
        <v>7.4</v>
      </c>
      <c r="S17" s="5">
        <v>5.0999999999999996</v>
      </c>
      <c r="T17" s="130"/>
      <c r="U17" s="134">
        <f>(((Table5[[#This Row],[Watts Active]]*Power_On_Hours_Year/1000)*Active_Duty_Cycle)+((Table5[[#This Row],[Watts Idle]]*Power_On_Hours_Year/1000)*(100%-Active_Duty_Cycle)))*CostPerKWH</f>
        <v>6.0922031999999993</v>
      </c>
      <c r="V17" s="134">
        <f>Table5[Energy$year]/Table5[[#This Row],[SizTB]]</f>
        <v>1.0153671999999998</v>
      </c>
      <c r="W17" s="143">
        <v>169.99</v>
      </c>
      <c r="X17" s="6">
        <f>Table5[[#This Row],[Cost]]/Table5[[#This Row],[SizTB]]*Exchange_Rate</f>
        <v>28.331666666666667</v>
      </c>
      <c r="Y17" s="206">
        <f>Table5[[#This Row],[Cost]]+((CompareWarrYrs-Table5[[#This Row],[S]])*(Incremental_Warr_Yr*Table5[[#This Row],[Cost]]))*Exchange_Rate</f>
        <v>169.99</v>
      </c>
      <c r="Z17" s="6">
        <f>Table5[[#This Row],[$+Warr]]/Table5[[#This Row],[SizTB]]</f>
        <v>28.331666666666667</v>
      </c>
      <c r="AA17" s="6">
        <f>Table5[[#This Row],[$PerTB]]/CompareWarrYrs</f>
        <v>5.6663333333333332</v>
      </c>
      <c r="AB17" s="124" t="s">
        <v>38</v>
      </c>
    </row>
    <row r="18" spans="1:28" ht="17.25">
      <c r="A18" s="1">
        <v>43050</v>
      </c>
      <c r="B18" t="s">
        <v>15</v>
      </c>
      <c r="C18" s="89" t="s">
        <v>80</v>
      </c>
      <c r="D18" s="31" t="s">
        <v>50</v>
      </c>
      <c r="E18" s="100">
        <v>3.5</v>
      </c>
      <c r="F18" s="86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237</v>
      </c>
      <c r="L18">
        <v>5</v>
      </c>
      <c r="M18" s="40">
        <v>600000</v>
      </c>
      <c r="N18">
        <v>550</v>
      </c>
      <c r="O18" s="40">
        <v>2500000</v>
      </c>
      <c r="P18" s="39">
        <v>1000000000000000</v>
      </c>
      <c r="Q18" s="57"/>
      <c r="R18" s="5">
        <v>7.4</v>
      </c>
      <c r="S18" s="5">
        <v>5.0999999999999996</v>
      </c>
      <c r="T18" s="130"/>
      <c r="U18" s="134">
        <f>(((Table5[[#This Row],[Watts Active]]*Power_On_Hours_Year/1000)*Active_Duty_Cycle)+((Table5[[#This Row],[Watts Idle]]*Power_On_Hours_Year/1000)*(100%-Active_Duty_Cycle)))*CostPerKWH</f>
        <v>6.0922031999999993</v>
      </c>
      <c r="V18" s="134">
        <f>Table5[Energy$year]/Table5[[#This Row],[SizTB]]</f>
        <v>0.76152539999999991</v>
      </c>
      <c r="W18" s="142">
        <v>285</v>
      </c>
      <c r="X18" s="6">
        <f>Table5[[#This Row],[Cost]]/Table5[[#This Row],[SizTB]]*Exchange_Rate</f>
        <v>35.625</v>
      </c>
      <c r="Y18" s="206">
        <f>Table5[[#This Row],[Cost]]+((CompareWarrYrs-Table5[[#This Row],[S]])*(Incremental_Warr_Yr*Table5[[#This Row],[Cost]]))*Exchange_Rate</f>
        <v>285</v>
      </c>
      <c r="Z18" s="6">
        <f>Table5[[#This Row],[$+Warr]]/Table5[[#This Row],[SizTB]]</f>
        <v>35.625</v>
      </c>
      <c r="AA18" s="6">
        <f>Table5[[#This Row],[$PerTB]]/CompareWarrYrs</f>
        <v>7.125</v>
      </c>
      <c r="AB18" s="124" t="s">
        <v>129</v>
      </c>
    </row>
    <row r="19" spans="1:28" ht="17.25">
      <c r="A19" s="1">
        <v>43005</v>
      </c>
      <c r="B19" t="s">
        <v>15</v>
      </c>
      <c r="C19" s="117" t="s">
        <v>116</v>
      </c>
      <c r="D19" s="31" t="s">
        <v>50</v>
      </c>
      <c r="E19" s="100">
        <v>3.5</v>
      </c>
      <c r="F19" s="86">
        <v>10</v>
      </c>
      <c r="G19" s="46">
        <v>7200</v>
      </c>
      <c r="H19" s="5">
        <v>4.16</v>
      </c>
      <c r="I19" s="5">
        <v>8</v>
      </c>
      <c r="J19" s="65">
        <f>(Table5[[#This Row],[RPM]]/5400-1)</f>
        <v>0.33333333333333326</v>
      </c>
      <c r="K19" s="49">
        <v>237</v>
      </c>
      <c r="L19">
        <v>5</v>
      </c>
      <c r="M19" s="40">
        <v>600000</v>
      </c>
      <c r="N19">
        <v>550</v>
      </c>
      <c r="O19" s="40">
        <v>2500000</v>
      </c>
      <c r="P19" s="39">
        <v>1000000000000000</v>
      </c>
      <c r="Q19" s="57"/>
      <c r="R19" s="5">
        <v>6.8</v>
      </c>
      <c r="S19" s="5">
        <v>5</v>
      </c>
      <c r="T19" s="130"/>
      <c r="U19" s="134">
        <f>(((Table5[[#This Row],[Watts Active]]*Power_On_Hours_Year/1000)*Active_Duty_Cycle)+((Table5[[#This Row],[Watts Idle]]*Power_On_Hours_Year/1000)*(100%-Active_Duty_Cycle)))*CostPerKWH</f>
        <v>5.8730592000000001</v>
      </c>
      <c r="V19" s="202">
        <f>Table5[Energy$year]/Table5[[#This Row],[SizTB]]</f>
        <v>0.58730592000000004</v>
      </c>
      <c r="W19" s="200">
        <v>349.99</v>
      </c>
      <c r="X19" s="6">
        <f>Table5[[#This Row],[Cost]]/Table5[[#This Row],[SizTB]]*Exchange_Rate</f>
        <v>34.999000000000002</v>
      </c>
      <c r="Y19" s="206">
        <f>Table5[[#This Row],[Cost]]+((CompareWarrYrs-Table5[[#This Row],[S]])*(Incremental_Warr_Yr*Table5[[#This Row],[Cost]]))*Exchange_Rate</f>
        <v>349.99</v>
      </c>
      <c r="Z19" s="6">
        <f>Table5[[#This Row],[$+Warr]]/Table5[[#This Row],[SizTB]]</f>
        <v>34.999000000000002</v>
      </c>
      <c r="AA19" s="6">
        <f>Table5[[#This Row],[$PerTB]]/CompareWarrYrs</f>
        <v>6.9998000000000005</v>
      </c>
      <c r="AB19" s="124" t="s">
        <v>38</v>
      </c>
    </row>
    <row r="20" spans="1:28" ht="17.25">
      <c r="A20" s="1">
        <v>43005</v>
      </c>
      <c r="B20" t="s">
        <v>15</v>
      </c>
      <c r="C20" s="117" t="s">
        <v>115</v>
      </c>
      <c r="D20" s="113" t="s">
        <v>50</v>
      </c>
      <c r="E20" s="100">
        <v>3.5</v>
      </c>
      <c r="F20" s="86">
        <v>12</v>
      </c>
      <c r="G20" s="46">
        <v>7200</v>
      </c>
      <c r="H20" s="5">
        <v>4.16</v>
      </c>
      <c r="I20" s="5">
        <v>8.6</v>
      </c>
      <c r="J20" s="65">
        <f>(Table5[[#This Row],[RPM]]/5400-1)</f>
        <v>0.33333333333333326</v>
      </c>
      <c r="K20" s="49">
        <v>243</v>
      </c>
      <c r="L20">
        <v>5</v>
      </c>
      <c r="M20" s="40">
        <v>600000</v>
      </c>
      <c r="N20">
        <v>550</v>
      </c>
      <c r="O20" s="40">
        <v>2500000</v>
      </c>
      <c r="P20" s="39">
        <v>1000000000000000</v>
      </c>
      <c r="Q20" s="57"/>
      <c r="R20" s="5">
        <v>7.2</v>
      </c>
      <c r="S20" s="5">
        <v>5.3</v>
      </c>
      <c r="T20" s="130"/>
      <c r="U20" s="134">
        <f>(((Table5[[#This Row],[Watts Active]]*Power_On_Hours_Year/1000)*Active_Duty_Cycle)+((Table5[[#This Row],[Watts Idle]]*Power_On_Hours_Year/1000)*(100%-Active_Duty_Cycle)))*CostPerKWH</f>
        <v>6.2236896000000002</v>
      </c>
      <c r="V20" s="202">
        <f>Table5[Energy$year]/Table5[[#This Row],[SizTB]]</f>
        <v>0.51864080000000001</v>
      </c>
      <c r="W20" s="200">
        <v>619.98</v>
      </c>
      <c r="X20" s="6">
        <f>Table5[[#This Row],[Cost]]/Table5[[#This Row],[SizTB]]*Exchange_Rate</f>
        <v>51.664999999999999</v>
      </c>
      <c r="Y20" s="206">
        <f>Table5[[#This Row],[Cost]]+((CompareWarrYrs-Table5[[#This Row],[S]])*(Incremental_Warr_Yr*Table5[[#This Row],[Cost]]))*Exchange_Rate</f>
        <v>619.98</v>
      </c>
      <c r="Z20" s="6">
        <f>Table5[[#This Row],[$+Warr]]/Table5[[#This Row],[SizTB]]</f>
        <v>51.664999999999999</v>
      </c>
      <c r="AA20" s="6">
        <f>Table5[[#This Row],[$PerTB]]/CompareWarrYrs</f>
        <v>10.333</v>
      </c>
      <c r="AB20" s="124" t="s">
        <v>38</v>
      </c>
    </row>
    <row r="21" spans="1:28" ht="18" thickBot="1">
      <c r="A21" s="69">
        <v>43021</v>
      </c>
      <c r="B21" s="70" t="s">
        <v>15</v>
      </c>
      <c r="C21" s="116" t="s">
        <v>102</v>
      </c>
      <c r="D21" s="71" t="s">
        <v>114</v>
      </c>
      <c r="E21" s="102">
        <v>3.5</v>
      </c>
      <c r="F21" s="87">
        <v>14</v>
      </c>
      <c r="G21" s="72">
        <v>7200</v>
      </c>
      <c r="H21" s="73">
        <v>4.16</v>
      </c>
      <c r="I21" s="73">
        <v>12</v>
      </c>
      <c r="J21" s="74">
        <f>(Table5[[#This Row],[RPM]]/5400-1)</f>
        <v>0.33333333333333326</v>
      </c>
      <c r="K21" s="75">
        <v>223</v>
      </c>
      <c r="L21" s="70">
        <v>5</v>
      </c>
      <c r="M21" s="76">
        <v>600000</v>
      </c>
      <c r="N21" s="70">
        <v>550</v>
      </c>
      <c r="O21" s="76">
        <v>2500000</v>
      </c>
      <c r="P21" s="77">
        <v>1000000000000000</v>
      </c>
      <c r="Q21" s="198">
        <f>12*1.51+5*0.39</f>
        <v>20.07</v>
      </c>
      <c r="R21" s="73">
        <v>6.4</v>
      </c>
      <c r="S21" s="73">
        <v>5.2</v>
      </c>
      <c r="T21" s="131">
        <v>0.8</v>
      </c>
      <c r="U21" s="136">
        <f>(((Table5[[#This Row],[Watts Active]]*Power_On_Hours_Year/1000)*Active_Duty_Cycle)+((Table5[[#This Row],[Watts Idle]]*Power_On_Hours_Year/1000)*(100%-Active_Duty_Cycle)))*CostPerKWH</f>
        <v>5.960716800000001</v>
      </c>
      <c r="V21" s="203">
        <f>Table5[Energy$year]/Table5[[#This Row],[SizTB]]</f>
        <v>0.4257654857142858</v>
      </c>
      <c r="W21" s="199"/>
      <c r="X21" s="210">
        <f>Table5[[#This Row],[Cost]]/Table5[[#This Row],[SizTB]]*Exchange_Rate</f>
        <v>0</v>
      </c>
      <c r="Y21" s="211">
        <f>Table5[[#This Row],[Cost]]+((CompareWarrYrs-Table5[[#This Row],[S]])*(Incremental_Warr_Yr*Table5[[#This Row],[Cost]]))*Exchange_Rate</f>
        <v>0</v>
      </c>
      <c r="Z21" s="210">
        <f>Table5[[#This Row],[$+Warr]]/Table5[[#This Row],[SizTB]]</f>
        <v>0</v>
      </c>
      <c r="AA21" s="212">
        <f>Table5[[#This Row],[$PerTB]]/CompareWarrYrs</f>
        <v>0</v>
      </c>
      <c r="AB21" s="125" t="s">
        <v>100</v>
      </c>
    </row>
    <row r="22" spans="1:28" ht="15.75" thickTop="1">
      <c r="A22" s="126">
        <v>43064</v>
      </c>
      <c r="B22" s="7" t="s">
        <v>10</v>
      </c>
      <c r="C22" s="127" t="s">
        <v>142</v>
      </c>
      <c r="D22" s="101" t="s">
        <v>114</v>
      </c>
      <c r="E22" s="121">
        <v>3.5</v>
      </c>
      <c r="F22" s="197">
        <v>5</v>
      </c>
      <c r="G22" s="46">
        <v>5900</v>
      </c>
      <c r="H22" s="5"/>
      <c r="I22" s="5"/>
      <c r="J22" s="65">
        <f>(Table5[[#This Row],[RPM]]/5400-1)</f>
        <v>9.259259259259256E-2</v>
      </c>
      <c r="K22" s="49">
        <v>180</v>
      </c>
      <c r="L22" s="7">
        <v>3</v>
      </c>
      <c r="M22" s="128">
        <v>300000</v>
      </c>
      <c r="N22" s="7">
        <v>180</v>
      </c>
      <c r="O22" s="128">
        <v>800000</v>
      </c>
      <c r="P22" s="39">
        <f t="shared" ref="P22:P24" si="2">10^14</f>
        <v>100000000000000</v>
      </c>
      <c r="Q22" s="57">
        <v>24</v>
      </c>
      <c r="R22" s="5">
        <v>5.5</v>
      </c>
      <c r="S22" s="5">
        <v>3.5</v>
      </c>
      <c r="T22" s="130">
        <v>0.74</v>
      </c>
      <c r="U22" s="134">
        <f>(((Table5[[#This Row],[Watts Active]]*Power_On_Hours_Year/1000)*Active_Duty_Cycle)+((Table5[[#This Row],[Watts Idle]]*Power_On_Hours_Year/1000)*(100%-Active_Duty_Cycle)))*CostPerKWH</f>
        <v>4.2733080000000001</v>
      </c>
      <c r="V22" s="202">
        <f>Table5[Energy$year]/Table5[[#This Row],[SizTB]]</f>
        <v>0.85466160000000002</v>
      </c>
      <c r="W22" s="201">
        <v>212</v>
      </c>
      <c r="X22" s="213">
        <f>Table5[[#This Row],[Cost]]/Table5[[#This Row],[SizTB]]*Exchange_Rate</f>
        <v>42.4</v>
      </c>
      <c r="Y22" s="205">
        <f>Table5[[#This Row],[Cost]]+((CompareWarrYrs-Table5[[#This Row],[S]])*(Incremental_Warr_Yr*Table5[[#This Row],[Cost]]))</f>
        <v>258.64</v>
      </c>
      <c r="Z22" s="213">
        <f>Table5[[#This Row],[$+Warr]]/Table5[[#This Row],[SizTB]]</f>
        <v>51.727999999999994</v>
      </c>
      <c r="AA22" s="214">
        <f>Table5[[#This Row],[$PerTB]]/CompareWarrYrs</f>
        <v>10.345599999999999</v>
      </c>
      <c r="AB22" s="124"/>
    </row>
    <row r="23" spans="1:28">
      <c r="A23" s="126">
        <v>43064</v>
      </c>
      <c r="B23" s="7" t="s">
        <v>10</v>
      </c>
      <c r="C23" s="127" t="s">
        <v>142</v>
      </c>
      <c r="D23" s="101" t="s">
        <v>114</v>
      </c>
      <c r="E23" s="121">
        <v>3.5</v>
      </c>
      <c r="F23" s="197">
        <v>6</v>
      </c>
      <c r="G23" s="46">
        <v>5900</v>
      </c>
      <c r="H23" s="5"/>
      <c r="I23" s="5"/>
      <c r="J23" s="65">
        <f>(Table5[[#This Row],[RPM]]/5400-1)</f>
        <v>9.259259259259256E-2</v>
      </c>
      <c r="K23" s="49">
        <v>190</v>
      </c>
      <c r="L23" s="7">
        <v>3</v>
      </c>
      <c r="M23" s="128">
        <v>300000</v>
      </c>
      <c r="N23" s="7">
        <v>180</v>
      </c>
      <c r="O23" s="128">
        <v>800000</v>
      </c>
      <c r="P23" s="39">
        <f t="shared" si="2"/>
        <v>100000000000000</v>
      </c>
      <c r="Q23" s="57">
        <v>24</v>
      </c>
      <c r="R23" s="5">
        <v>7.5</v>
      </c>
      <c r="S23" s="5">
        <v>5</v>
      </c>
      <c r="T23" s="130">
        <v>0.999</v>
      </c>
      <c r="U23" s="134">
        <f>(((Table5[[#This Row],[Watts Active]]*Power_On_Hours_Year/1000)*Active_Duty_Cycle)+((Table5[[#This Row],[Watts Idle]]*Power_On_Hours_Year/1000)*(100%-Active_Duty_Cycle)))*CostPerKWH</f>
        <v>6.0264600000000002</v>
      </c>
      <c r="V23" s="202">
        <f>Table5[Energy$year]/Table5[[#This Row],[SizTB]]</f>
        <v>1.00441</v>
      </c>
      <c r="W23" s="201">
        <v>194.79</v>
      </c>
      <c r="X23" s="6">
        <f>Table5[[#This Row],[Cost]]/Table5[[#This Row],[SizTB]]*Exchange_Rate</f>
        <v>32.464999999999996</v>
      </c>
      <c r="Y23" s="206">
        <f>Table5[[#This Row],[Cost]]+((CompareWarrYrs-Table5[[#This Row],[S]])*(Incremental_Warr_Yr*Table5[[#This Row],[Cost]]))</f>
        <v>237.6438</v>
      </c>
      <c r="Z23" s="6">
        <f>Table5[[#This Row],[$+Warr]]/Table5[[#This Row],[SizTB]]</f>
        <v>39.607300000000002</v>
      </c>
      <c r="AA23" s="6">
        <f>Table5[[#This Row],[$PerTB]]/CompareWarrYrs</f>
        <v>7.9214600000000006</v>
      </c>
      <c r="AB23" s="124"/>
    </row>
    <row r="24" spans="1:28">
      <c r="A24" s="126">
        <v>43064</v>
      </c>
      <c r="B24" s="7" t="s">
        <v>10</v>
      </c>
      <c r="C24" s="127" t="s">
        <v>142</v>
      </c>
      <c r="D24" s="101" t="s">
        <v>114</v>
      </c>
      <c r="E24" s="121">
        <v>3.5</v>
      </c>
      <c r="F24" s="197">
        <v>8</v>
      </c>
      <c r="G24" s="46">
        <v>5900</v>
      </c>
      <c r="H24" s="5"/>
      <c r="I24" s="5"/>
      <c r="J24" s="65">
        <f>(Table5[[#This Row],[RPM]]/5400-1)</f>
        <v>9.259259259259256E-2</v>
      </c>
      <c r="K24" s="49">
        <v>190</v>
      </c>
      <c r="L24" s="7">
        <v>3</v>
      </c>
      <c r="M24" s="128">
        <v>300000</v>
      </c>
      <c r="N24" s="7">
        <v>180</v>
      </c>
      <c r="O24" s="128">
        <v>800000</v>
      </c>
      <c r="P24" s="39">
        <f t="shared" si="2"/>
        <v>100000000000000</v>
      </c>
      <c r="Q24" s="57">
        <v>24</v>
      </c>
      <c r="R24" s="5">
        <v>7.5</v>
      </c>
      <c r="S24" s="5">
        <v>5</v>
      </c>
      <c r="T24" s="130">
        <v>0.999</v>
      </c>
      <c r="U24" s="134">
        <f>(((Table5[[#This Row],[Watts Active]]*Power_On_Hours_Year/1000)*Active_Duty_Cycle)+((Table5[[#This Row],[Watts Idle]]*Power_On_Hours_Year/1000)*(100%-Active_Duty_Cycle)))*CostPerKWH</f>
        <v>6.0264600000000002</v>
      </c>
      <c r="V24" s="202">
        <f>Table5[Energy$year]/Table5[[#This Row],[SizTB]]</f>
        <v>0.75330750000000002</v>
      </c>
      <c r="W24" s="201">
        <v>229.99</v>
      </c>
      <c r="X24" s="6">
        <f>Table5[[#This Row],[Cost]]/Table5[[#This Row],[SizTB]]*Exchange_Rate</f>
        <v>28.748750000000001</v>
      </c>
      <c r="Y24" s="206">
        <f>Table5[[#This Row],[Cost]]+((CompareWarrYrs-Table5[[#This Row],[S]])*(Incremental_Warr_Yr*Table5[[#This Row],[Cost]]))</f>
        <v>280.58780000000002</v>
      </c>
      <c r="Z24" s="6">
        <f>Table5[[#This Row],[$+Warr]]/Table5[[#This Row],[SizTB]]</f>
        <v>35.073475000000002</v>
      </c>
      <c r="AA24" s="6">
        <f>Table5[[#This Row],[$PerTB]]/CompareWarrYrs</f>
        <v>7.0146950000000006</v>
      </c>
      <c r="AB24" s="124"/>
    </row>
    <row r="25" spans="1:28">
      <c r="A25" s="1">
        <v>43050</v>
      </c>
      <c r="B25" t="s">
        <v>10</v>
      </c>
      <c r="C25" s="117" t="s">
        <v>11</v>
      </c>
      <c r="D25" s="31" t="s">
        <v>134</v>
      </c>
      <c r="E25" s="100">
        <v>3.5</v>
      </c>
      <c r="F25" s="86">
        <v>1</v>
      </c>
      <c r="G25" s="46">
        <v>7200</v>
      </c>
      <c r="H25" s="5">
        <v>4.16</v>
      </c>
      <c r="I25" s="5">
        <v>9.5</v>
      </c>
      <c r="J25" s="65">
        <f>(Table5[[#This Row],[RPM]]/5400-1)</f>
        <v>0.33333333333333326</v>
      </c>
      <c r="K25" s="49">
        <v>156</v>
      </c>
      <c r="L25">
        <v>2</v>
      </c>
      <c r="M25" s="40">
        <v>300000</v>
      </c>
      <c r="N25">
        <v>55</v>
      </c>
      <c r="O25" s="40"/>
      <c r="P25" s="39">
        <f t="shared" ref="P25:P33" si="3">10^14</f>
        <v>100000000000000</v>
      </c>
      <c r="Q25" s="57">
        <v>24</v>
      </c>
      <c r="R25" s="5">
        <v>5.3</v>
      </c>
      <c r="S25" s="5">
        <v>4.5999999999999996</v>
      </c>
      <c r="T25" s="130">
        <v>0.94</v>
      </c>
      <c r="U25" s="134">
        <f>(((Table5[[#This Row],[Watts Active]]*Power_On_Hours_Year/1000)*Active_Duty_Cycle)+((Table5[[#This Row],[Watts Idle]]*Power_On_Hours_Year/1000)*(100%-Active_Duty_Cycle)))*CostPerKWH</f>
        <v>5.1937128000000001</v>
      </c>
      <c r="V25" s="202">
        <f>Table5[Energy$year]/Table5[[#This Row],[SizTB]]</f>
        <v>5.1937128000000001</v>
      </c>
      <c r="W25" s="200">
        <v>46.99</v>
      </c>
      <c r="X25" s="6">
        <f>Table5[[#This Row],[Cost]]/Table5[[#This Row],[SizTB]]*Exchange_Rate</f>
        <v>46.99</v>
      </c>
      <c r="Y25" s="206">
        <f>Table5[[#This Row],[Cost]]+((CompareWarrYrs-Table5[[#This Row],[S]])*(Incremental_Warr_Yr*Table5[[#This Row],[Cost]]))*Exchange_Rate</f>
        <v>62.496700000000004</v>
      </c>
      <c r="Z25" s="6">
        <f>Table5[[#This Row],[$+Warr]]/Table5[[#This Row],[SizTB]]</f>
        <v>62.496700000000004</v>
      </c>
      <c r="AA25" s="6">
        <f>Table5[[#This Row],[$PerTB]]/CompareWarrYrs</f>
        <v>12.49934</v>
      </c>
      <c r="AB25" s="44"/>
    </row>
    <row r="26" spans="1:28">
      <c r="A26" s="1">
        <v>43060</v>
      </c>
      <c r="B26" t="s">
        <v>10</v>
      </c>
      <c r="C26" s="117" t="s">
        <v>11</v>
      </c>
      <c r="D26" s="129" t="s">
        <v>134</v>
      </c>
      <c r="E26" s="100">
        <v>3.5</v>
      </c>
      <c r="F26" s="86">
        <v>2</v>
      </c>
      <c r="G26" s="46">
        <v>7200</v>
      </c>
      <c r="H26" s="5">
        <v>6</v>
      </c>
      <c r="I26" s="5">
        <v>9.5</v>
      </c>
      <c r="J26" s="65">
        <f>(Table5[[#This Row],[RPM]]/5400-1)</f>
        <v>0.33333333333333326</v>
      </c>
      <c r="K26" s="49">
        <v>156</v>
      </c>
      <c r="L26">
        <v>2</v>
      </c>
      <c r="M26" s="40">
        <v>300000</v>
      </c>
      <c r="N26">
        <v>55</v>
      </c>
      <c r="O26" s="40"/>
      <c r="P26" s="39">
        <f t="shared" si="3"/>
        <v>100000000000000</v>
      </c>
      <c r="Q26" s="57">
        <f>2.5*12</f>
        <v>30</v>
      </c>
      <c r="R26" s="5">
        <v>8</v>
      </c>
      <c r="S26" s="5">
        <v>5.4</v>
      </c>
      <c r="T26" s="130">
        <v>0.75</v>
      </c>
      <c r="U26" s="134">
        <f>(((Table5[[#This Row],[Watts Active]]*Power_On_Hours_Year/1000)*Active_Duty_Cycle)+((Table5[[#This Row],[Watts Idle]]*Power_On_Hours_Year/1000)*(100%-Active_Duty_Cycle)))*CostPerKWH</f>
        <v>6.486662400000001</v>
      </c>
      <c r="V26" s="202">
        <f>Table5[Energy$year]/Table5[[#This Row],[SizTB]]</f>
        <v>3.2433312000000005</v>
      </c>
      <c r="W26" s="201">
        <v>54.99</v>
      </c>
      <c r="X26" s="6">
        <f>Table5[[#This Row],[Cost]]/Table5[[#This Row],[SizTB]]*Exchange_Rate</f>
        <v>27.495000000000001</v>
      </c>
      <c r="Y26" s="206">
        <f>Table5[[#This Row],[Cost]]+((CompareWarrYrs-Table5[[#This Row],[S]])*(Incremental_Warr_Yr*Table5[[#This Row],[Cost]]))*Exchange_Rate</f>
        <v>73.136700000000005</v>
      </c>
      <c r="Z26" s="6">
        <f>Table5[[#This Row],[$+Warr]]/Table5[[#This Row],[SizTB]]</f>
        <v>36.568350000000002</v>
      </c>
      <c r="AA26" s="6">
        <f>Table5[[#This Row],[$PerTB]]/CompareWarrYrs</f>
        <v>7.3136700000000001</v>
      </c>
      <c r="AB26" s="44"/>
    </row>
    <row r="27" spans="1:28">
      <c r="A27" s="1">
        <v>43050</v>
      </c>
      <c r="B27" t="s">
        <v>10</v>
      </c>
      <c r="C27" s="117" t="s">
        <v>11</v>
      </c>
      <c r="D27" s="129" t="s">
        <v>134</v>
      </c>
      <c r="E27" s="100">
        <v>3.5</v>
      </c>
      <c r="F27" s="86">
        <v>3</v>
      </c>
      <c r="G27" s="46">
        <v>7200</v>
      </c>
      <c r="H27" s="5">
        <v>6</v>
      </c>
      <c r="I27" s="5">
        <v>9.5</v>
      </c>
      <c r="J27" s="65">
        <f>(Table5[[#This Row],[RPM]]/5400-1)</f>
        <v>0.33333333333333326</v>
      </c>
      <c r="K27" s="49">
        <v>156</v>
      </c>
      <c r="L27">
        <v>2</v>
      </c>
      <c r="M27" s="40">
        <v>300000</v>
      </c>
      <c r="N27">
        <v>55</v>
      </c>
      <c r="O27" s="40"/>
      <c r="P27" s="39">
        <f t="shared" si="3"/>
        <v>100000000000000</v>
      </c>
      <c r="Q27" s="57">
        <f>2.5*12</f>
        <v>30</v>
      </c>
      <c r="R27" s="5">
        <v>8</v>
      </c>
      <c r="S27" s="5">
        <v>5.4</v>
      </c>
      <c r="T27" s="130">
        <v>0.75</v>
      </c>
      <c r="U27" s="134">
        <f>(((Table5[[#This Row],[Watts Active]]*Power_On_Hours_Year/1000)*Active_Duty_Cycle)+((Table5[[#This Row],[Watts Idle]]*Power_On_Hours_Year/1000)*(100%-Active_Duty_Cycle)))*CostPerKWH</f>
        <v>6.486662400000001</v>
      </c>
      <c r="V27" s="202">
        <f>Table5[Energy$year]/Table5[[#This Row],[SizTB]]</f>
        <v>2.1622208000000005</v>
      </c>
      <c r="W27" s="200">
        <v>69.989999999999995</v>
      </c>
      <c r="X27" s="6">
        <f>Table5[[#This Row],[Cost]]/Table5[[#This Row],[SizTB]]*Exchange_Rate</f>
        <v>23.33</v>
      </c>
      <c r="Y27" s="206">
        <f>Table5[[#This Row],[Cost]]+((CompareWarrYrs-Table5[[#This Row],[S]])*(Incremental_Warr_Yr*Table5[[#This Row],[Cost]]))*Exchange_Rate</f>
        <v>93.086699999999993</v>
      </c>
      <c r="Z27" s="6">
        <f>Table5[[#This Row],[$+Warr]]/Table5[[#This Row],[SizTB]]</f>
        <v>31.028899999999997</v>
      </c>
      <c r="AA27" s="6">
        <f>Table5[[#This Row],[$PerTB]]/CompareWarrYrs</f>
        <v>6.205779999999999</v>
      </c>
      <c r="AB27" s="44"/>
    </row>
    <row r="28" spans="1:28">
      <c r="A28" s="1">
        <v>43050</v>
      </c>
      <c r="B28" t="s">
        <v>10</v>
      </c>
      <c r="C28" s="117" t="s">
        <v>11</v>
      </c>
      <c r="D28" s="129" t="s">
        <v>134</v>
      </c>
      <c r="E28" s="100">
        <v>3.5</v>
      </c>
      <c r="F28" s="86">
        <v>4</v>
      </c>
      <c r="G28" s="46">
        <v>7200</v>
      </c>
      <c r="H28" s="5">
        <v>6</v>
      </c>
      <c r="I28" s="5">
        <v>9.5</v>
      </c>
      <c r="J28" s="65">
        <f>(Table5[[#This Row],[RPM]]/5400-1)</f>
        <v>0.33333333333333326</v>
      </c>
      <c r="K28" s="49">
        <v>190</v>
      </c>
      <c r="L28">
        <v>2</v>
      </c>
      <c r="M28" s="40">
        <v>300000</v>
      </c>
      <c r="N28">
        <v>55</v>
      </c>
      <c r="O28" s="40"/>
      <c r="P28" s="39">
        <f t="shared" si="3"/>
        <v>100000000000000</v>
      </c>
      <c r="Q28" s="57">
        <v>24</v>
      </c>
      <c r="R28" s="5">
        <v>5</v>
      </c>
      <c r="S28" s="5">
        <v>2.5</v>
      </c>
      <c r="T28" s="130">
        <v>0.25</v>
      </c>
      <c r="U28" s="134">
        <f>(((Table5[[#This Row],[Watts Active]]*Power_On_Hours_Year/1000)*Active_Duty_Cycle)+((Table5[[#This Row],[Watts Idle]]*Power_On_Hours_Year/1000)*(100%-Active_Duty_Cycle)))*CostPerKWH</f>
        <v>3.2871600000000001</v>
      </c>
      <c r="V28" s="202">
        <f>Table5[Energy$year]/Table5[[#This Row],[SizTB]]</f>
        <v>0.82179000000000002</v>
      </c>
      <c r="W28" s="200">
        <v>99.99</v>
      </c>
      <c r="X28" s="6">
        <f>Table5[[#This Row],[Cost]]/Table5[[#This Row],[SizTB]]*Exchange_Rate</f>
        <v>24.997499999999999</v>
      </c>
      <c r="Y28" s="206">
        <f>Table5[[#This Row],[Cost]]+((CompareWarrYrs-Table5[[#This Row],[S]])*(Incremental_Warr_Yr*Table5[[#This Row],[Cost]]))*Exchange_Rate</f>
        <v>132.98669999999998</v>
      </c>
      <c r="Z28" s="6">
        <f>Table5[[#This Row],[$+Warr]]/Table5[[#This Row],[SizTB]]</f>
        <v>33.246674999999996</v>
      </c>
      <c r="AA28" s="6">
        <f>Table5[[#This Row],[$PerTB]]/CompareWarrYrs</f>
        <v>6.6493349999999989</v>
      </c>
      <c r="AB28" s="44"/>
    </row>
    <row r="29" spans="1:28">
      <c r="A29" s="1">
        <v>43019</v>
      </c>
      <c r="B29" t="s">
        <v>10</v>
      </c>
      <c r="C29" s="117" t="s">
        <v>11</v>
      </c>
      <c r="D29" s="31" t="s">
        <v>133</v>
      </c>
      <c r="E29" s="100">
        <v>2.5</v>
      </c>
      <c r="F29" s="86">
        <v>1</v>
      </c>
      <c r="G29" s="46">
        <v>5400</v>
      </c>
      <c r="H29" s="5"/>
      <c r="I29" s="5"/>
      <c r="J29" s="65">
        <f>(Table5[[#This Row],[RPM]]/5400-1)</f>
        <v>0</v>
      </c>
      <c r="K29" s="49">
        <v>140</v>
      </c>
      <c r="L29">
        <v>2</v>
      </c>
      <c r="M29" s="40">
        <v>600000</v>
      </c>
      <c r="O29" s="40"/>
      <c r="P29" s="39">
        <f t="shared" si="3"/>
        <v>100000000000000</v>
      </c>
      <c r="Q29" s="57">
        <f>1*5</f>
        <v>5</v>
      </c>
      <c r="R29" s="5">
        <v>1.7</v>
      </c>
      <c r="S29" s="5">
        <v>0.45</v>
      </c>
      <c r="T29" s="130"/>
      <c r="U29" s="134">
        <f>(((Table5[[#This Row],[Watts Active]]*Power_On_Hours_Year/1000)*Active_Duty_Cycle)+((Table5[[#This Row],[Watts Idle]]*Power_On_Hours_Year/1000)*(100%-Active_Duty_Cycle)))*CostPerKWH</f>
        <v>0.76700400000000002</v>
      </c>
      <c r="V29" s="202">
        <f>Table5[Energy$year]/Table5[[#This Row],[SizTB]]</f>
        <v>0.76700400000000002</v>
      </c>
      <c r="W29" s="200">
        <v>49.99</v>
      </c>
      <c r="X29" s="6">
        <f>Table5[[#This Row],[Cost]]/Table5[[#This Row],[SizTB]]*Exchange_Rate</f>
        <v>49.99</v>
      </c>
      <c r="Y29" s="206">
        <f>Table5[[#This Row],[Cost]]+((CompareWarrYrs-Table5[[#This Row],[S]])*(Incremental_Warr_Yr*Table5[[#This Row],[Cost]]))*Exchange_Rate</f>
        <v>66.486699999999999</v>
      </c>
      <c r="Z29" s="6">
        <f>Table5[[#This Row],[$+Warr]]/Table5[[#This Row],[SizTB]]</f>
        <v>66.486699999999999</v>
      </c>
      <c r="AA29" s="6">
        <f>Table5[[#This Row],[$PerTB]]/CompareWarrYrs</f>
        <v>13.29734</v>
      </c>
      <c r="AB29" s="44"/>
    </row>
    <row r="30" spans="1:28">
      <c r="A30" s="1">
        <v>43019</v>
      </c>
      <c r="B30" t="s">
        <v>10</v>
      </c>
      <c r="C30" s="117" t="s">
        <v>11</v>
      </c>
      <c r="D30" s="129" t="s">
        <v>133</v>
      </c>
      <c r="E30" s="100">
        <v>2.5</v>
      </c>
      <c r="F30" s="86">
        <v>2</v>
      </c>
      <c r="G30" s="46">
        <v>5400</v>
      </c>
      <c r="H30" s="5"/>
      <c r="I30" s="5"/>
      <c r="J30" s="65">
        <f>(Table5[[#This Row],[RPM]]/5400-1)</f>
        <v>0</v>
      </c>
      <c r="K30" s="49">
        <v>140</v>
      </c>
      <c r="L30">
        <v>2</v>
      </c>
      <c r="M30" s="40">
        <v>600000</v>
      </c>
      <c r="O30" s="40"/>
      <c r="P30" s="39">
        <f t="shared" si="3"/>
        <v>100000000000000</v>
      </c>
      <c r="Q30" s="57">
        <f>1*5</f>
        <v>5</v>
      </c>
      <c r="R30" s="5">
        <v>1.8</v>
      </c>
      <c r="S30" s="5">
        <v>0.5</v>
      </c>
      <c r="T30" s="130"/>
      <c r="U30" s="134">
        <f>(((Table5[[#This Row],[Watts Active]]*Power_On_Hours_Year/1000)*Active_Duty_Cycle)+((Table5[[#This Row],[Watts Idle]]*Power_On_Hours_Year/1000)*(100%-Active_Duty_Cycle)))*CostPerKWH</f>
        <v>0.83274720000000002</v>
      </c>
      <c r="V30" s="202">
        <f>Table5[Energy$year]/Table5[[#This Row],[SizTB]]</f>
        <v>0.41637360000000001</v>
      </c>
      <c r="W30" s="200">
        <v>66.989999999999995</v>
      </c>
      <c r="X30" s="6">
        <f>Table5[[#This Row],[Cost]]/Table5[[#This Row],[SizTB]]*Exchange_Rate</f>
        <v>33.494999999999997</v>
      </c>
      <c r="Y30" s="206">
        <f>Table5[[#This Row],[Cost]]+((CompareWarrYrs-Table5[[#This Row],[S]])*(Incremental_Warr_Yr*Table5[[#This Row],[Cost]]))*Exchange_Rate</f>
        <v>89.096699999999998</v>
      </c>
      <c r="Z30" s="6">
        <f>Table5[[#This Row],[$+Warr]]/Table5[[#This Row],[SizTB]]</f>
        <v>44.548349999999999</v>
      </c>
      <c r="AA30" s="6">
        <f>Table5[[#This Row],[$PerTB]]/CompareWarrYrs</f>
        <v>8.9096700000000002</v>
      </c>
      <c r="AB30" s="44"/>
    </row>
    <row r="31" spans="1:28">
      <c r="A31" s="1">
        <v>43019</v>
      </c>
      <c r="B31" t="s">
        <v>10</v>
      </c>
      <c r="C31" s="117" t="s">
        <v>11</v>
      </c>
      <c r="D31" s="129" t="s">
        <v>133</v>
      </c>
      <c r="E31" s="100">
        <v>2.5</v>
      </c>
      <c r="F31" s="86">
        <v>3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si="3"/>
        <v>100000000000000</v>
      </c>
      <c r="Q31" s="57">
        <f>1.2*5</f>
        <v>6</v>
      </c>
      <c r="R31" s="5">
        <v>2.1</v>
      </c>
      <c r="S31" s="5">
        <v>1.1000000000000001</v>
      </c>
      <c r="T31" s="130"/>
      <c r="U31" s="134">
        <f>(((Table5[[#This Row],[Watts Active]]*Power_On_Hours_Year/1000)*Active_Duty_Cycle)+((Table5[[#This Row],[Watts Idle]]*Power_On_Hours_Year/1000)*(100%-Active_Duty_Cycle)))*CostPerKWH</f>
        <v>1.4244360000000003</v>
      </c>
      <c r="V31" s="202">
        <f>Table5[Energy$year]/Table5[[#This Row],[SizTB]]</f>
        <v>0.47481200000000007</v>
      </c>
      <c r="W31" s="200">
        <v>89.99</v>
      </c>
      <c r="X31" s="6">
        <f>Table5[[#This Row],[Cost]]/Table5[[#This Row],[SizTB]]*Exchange_Rate</f>
        <v>29.996666666666666</v>
      </c>
      <c r="Y31" s="206">
        <f>Table5[[#This Row],[Cost]]+((CompareWarrYrs-Table5[[#This Row],[S]])*(Incremental_Warr_Yr*Table5[[#This Row],[Cost]]))*Exchange_Rate</f>
        <v>119.6867</v>
      </c>
      <c r="Z31" s="6">
        <f>Table5[[#This Row],[$+Warr]]/Table5[[#This Row],[SizTB]]</f>
        <v>39.895566666666667</v>
      </c>
      <c r="AA31" s="6">
        <f>Table5[[#This Row],[$PerTB]]/CompareWarrYrs</f>
        <v>7.9791133333333333</v>
      </c>
      <c r="AB31" s="44"/>
    </row>
    <row r="32" spans="1:28">
      <c r="A32" s="1">
        <v>43019</v>
      </c>
      <c r="B32" t="s">
        <v>10</v>
      </c>
      <c r="C32" s="117" t="s">
        <v>11</v>
      </c>
      <c r="D32" s="129" t="s">
        <v>133</v>
      </c>
      <c r="E32" s="100">
        <v>2.5</v>
      </c>
      <c r="F32" s="86">
        <v>4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3"/>
        <v>100000000000000</v>
      </c>
      <c r="Q32" s="57">
        <f>1.2*5</f>
        <v>6</v>
      </c>
      <c r="R32" s="5">
        <v>2.1</v>
      </c>
      <c r="S32" s="5">
        <v>1.1000000000000001</v>
      </c>
      <c r="T32" s="130"/>
      <c r="U32" s="134">
        <f>(((Table5[[#This Row],[Watts Active]]*Power_On_Hours_Year/1000)*Active_Duty_Cycle)+((Table5[[#This Row],[Watts Idle]]*Power_On_Hours_Year/1000)*(100%-Active_Duty_Cycle)))*CostPerKWH</f>
        <v>1.4244360000000003</v>
      </c>
      <c r="V32" s="202">
        <f>Table5[Energy$year]/Table5[[#This Row],[SizTB]]</f>
        <v>0.35610900000000006</v>
      </c>
      <c r="W32" s="200">
        <v>114.99</v>
      </c>
      <c r="X32" s="6">
        <f>Table5[[#This Row],[Cost]]/Table5[[#This Row],[SizTB]]*Exchange_Rate</f>
        <v>28.747499999999999</v>
      </c>
      <c r="Y32" s="206">
        <f>Table5[[#This Row],[Cost]]+((CompareWarrYrs-Table5[[#This Row],[S]])*(Incremental_Warr_Yr*Table5[[#This Row],[Cost]]))*Exchange_Rate</f>
        <v>152.9367</v>
      </c>
      <c r="Z32" s="6">
        <f>Table5[[#This Row],[$+Warr]]/Table5[[#This Row],[SizTB]]</f>
        <v>38.234175</v>
      </c>
      <c r="AA32" s="6">
        <f>Table5[[#This Row],[$PerTB]]/CompareWarrYrs</f>
        <v>7.6468350000000003</v>
      </c>
      <c r="AB32" s="44"/>
    </row>
    <row r="33" spans="1:28">
      <c r="A33" s="1">
        <v>43053</v>
      </c>
      <c r="B33" t="s">
        <v>10</v>
      </c>
      <c r="C33" s="117" t="s">
        <v>11</v>
      </c>
      <c r="D33" s="129" t="s">
        <v>133</v>
      </c>
      <c r="E33" s="100">
        <v>2.5</v>
      </c>
      <c r="F33" s="86">
        <v>5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3"/>
        <v>100000000000000</v>
      </c>
      <c r="Q33" s="57">
        <f>1.2*5</f>
        <v>6</v>
      </c>
      <c r="R33" s="5">
        <v>2.1</v>
      </c>
      <c r="S33" s="5">
        <v>1.1000000000000001</v>
      </c>
      <c r="T33" s="130"/>
      <c r="U33" s="134">
        <f>(((Table5[[#This Row],[Watts Active]]*Power_On_Hours_Year/1000)*Active_Duty_Cycle)+((Table5[[#This Row],[Watts Idle]]*Power_On_Hours_Year/1000)*(100%-Active_Duty_Cycle)))*CostPerKWH</f>
        <v>1.4244360000000003</v>
      </c>
      <c r="V33" s="202">
        <f>Table5[Energy$year]/Table5[[#This Row],[SizTB]]</f>
        <v>0.28488720000000006</v>
      </c>
      <c r="W33" s="200">
        <v>209.99</v>
      </c>
      <c r="X33" s="6">
        <f>Table5[[#This Row],[Cost]]/Table5[[#This Row],[SizTB]]*Exchange_Rate</f>
        <v>41.998000000000005</v>
      </c>
      <c r="Y33" s="206">
        <f>Table5[[#This Row],[Cost]]+((CompareWarrYrs-Table5[[#This Row],[S]])*(Incremental_Warr_Yr*Table5[[#This Row],[Cost]]))*Exchange_Rate</f>
        <v>279.2867</v>
      </c>
      <c r="Z33" s="6">
        <f>Table5[[#This Row],[$+Warr]]/Table5[[#This Row],[SizTB]]</f>
        <v>55.857340000000001</v>
      </c>
      <c r="AA33" s="6">
        <f>Table5[[#This Row],[$PerTB]]/CompareWarrYrs</f>
        <v>11.171468000000001</v>
      </c>
      <c r="AB33" s="44"/>
    </row>
    <row r="34" spans="1:28">
      <c r="A34" s="1">
        <v>43019</v>
      </c>
      <c r="B34" t="s">
        <v>10</v>
      </c>
      <c r="C34" s="117" t="s">
        <v>18</v>
      </c>
      <c r="D34" s="31" t="s">
        <v>134</v>
      </c>
      <c r="E34" s="100">
        <v>3.5</v>
      </c>
      <c r="F34" s="86">
        <v>2</v>
      </c>
      <c r="G34" s="46">
        <v>7200</v>
      </c>
      <c r="H34" s="5">
        <v>4.16</v>
      </c>
      <c r="I34" s="5"/>
      <c r="J34" s="65">
        <f>(Table5[[#This Row],[RPM]]/5400-1)</f>
        <v>0.33333333333333326</v>
      </c>
      <c r="K34" s="49">
        <v>195</v>
      </c>
      <c r="L34">
        <v>5</v>
      </c>
      <c r="M34" s="40">
        <v>600000</v>
      </c>
      <c r="N34">
        <v>180</v>
      </c>
      <c r="O34" s="40"/>
      <c r="P34" s="39">
        <v>1000000000000000</v>
      </c>
      <c r="Q34" s="57">
        <v>24</v>
      </c>
      <c r="R34" s="5">
        <v>7.5</v>
      </c>
      <c r="S34" s="5">
        <v>4.5</v>
      </c>
      <c r="T34" s="130">
        <v>0.8</v>
      </c>
      <c r="U34" s="134">
        <f>(((Table5[[#This Row],[Watts Active]]*Power_On_Hours_Year/1000)*Active_Duty_Cycle)+((Table5[[#This Row],[Watts Idle]]*Power_On_Hours_Year/1000)*(100%-Active_Duty_Cycle)))*CostPerKWH</f>
        <v>5.5881720000000001</v>
      </c>
      <c r="V34" s="202">
        <f>Table5[Energy$year]/Table5[[#This Row],[SizTB]]</f>
        <v>2.7940860000000001</v>
      </c>
      <c r="W34" s="200">
        <v>127.99</v>
      </c>
      <c r="X34" s="6">
        <f>Table5[[#This Row],[Cost]]/Table5[[#This Row],[SizTB]]*Exchange_Rate</f>
        <v>63.994999999999997</v>
      </c>
      <c r="Y34" s="206">
        <f>Table5[[#This Row],[Cost]]+((CompareWarrYrs-Table5[[#This Row],[S]])*(Incremental_Warr_Yr*Table5[[#This Row],[Cost]]))*Exchange_Rate</f>
        <v>127.99</v>
      </c>
      <c r="Z34" s="6">
        <f>Table5[[#This Row],[$+Warr]]/Table5[[#This Row],[SizTB]]</f>
        <v>63.994999999999997</v>
      </c>
      <c r="AA34" s="6">
        <f>Table5[[#This Row],[$PerTB]]/CompareWarrYrs</f>
        <v>12.798999999999999</v>
      </c>
      <c r="AB34" s="44"/>
    </row>
    <row r="35" spans="1:28">
      <c r="A35" s="1">
        <v>43019</v>
      </c>
      <c r="B35" t="s">
        <v>10</v>
      </c>
      <c r="C35" s="117" t="s">
        <v>18</v>
      </c>
      <c r="D35" s="129" t="s">
        <v>134</v>
      </c>
      <c r="E35" s="100">
        <v>3.5</v>
      </c>
      <c r="F35" s="86">
        <v>4</v>
      </c>
      <c r="G35" s="46">
        <v>7200</v>
      </c>
      <c r="H35" s="5">
        <v>4.16</v>
      </c>
      <c r="I35" s="5"/>
      <c r="J35" s="65">
        <f>(Table5[[#This Row],[RPM]]/5400-1)</f>
        <v>0.33333333333333326</v>
      </c>
      <c r="K35" s="49">
        <v>214</v>
      </c>
      <c r="L35">
        <v>5</v>
      </c>
      <c r="M35" s="40">
        <v>600000</v>
      </c>
      <c r="N35">
        <v>180</v>
      </c>
      <c r="O35" s="40"/>
      <c r="P35" s="39">
        <v>1000000000000000</v>
      </c>
      <c r="Q35" s="57">
        <v>24</v>
      </c>
      <c r="R35" s="5">
        <v>6.7</v>
      </c>
      <c r="S35" s="5">
        <v>6</v>
      </c>
      <c r="T35" s="130">
        <v>0.6</v>
      </c>
      <c r="U35" s="134">
        <f>(((Table5[[#This Row],[Watts Active]]*Power_On_Hours_Year/1000)*Active_Duty_Cycle)+((Table5[[#This Row],[Watts Idle]]*Power_On_Hours_Year/1000)*(100%-Active_Duty_Cycle)))*CostPerKWH</f>
        <v>6.7277208000000002</v>
      </c>
      <c r="V35" s="202">
        <f>Table5[Energy$year]/Table5[[#This Row],[SizTB]]</f>
        <v>1.6819302</v>
      </c>
      <c r="W35" s="200">
        <v>174.99</v>
      </c>
      <c r="X35" s="6">
        <f>Table5[[#This Row],[Cost]]/Table5[[#This Row],[SizTB]]*Exchange_Rate</f>
        <v>43.747500000000002</v>
      </c>
      <c r="Y35" s="206">
        <f>Table5[[#This Row],[Cost]]+((CompareWarrYrs-Table5[[#This Row],[S]])*(Incremental_Warr_Yr*Table5[[#This Row],[Cost]]))*Exchange_Rate</f>
        <v>174.99</v>
      </c>
      <c r="Z35" s="6">
        <f>Table5[[#This Row],[$+Warr]]/Table5[[#This Row],[SizTB]]</f>
        <v>43.747500000000002</v>
      </c>
      <c r="AA35" s="6">
        <f>Table5[[#This Row],[$PerTB]]/CompareWarrYrs</f>
        <v>8.7495000000000012</v>
      </c>
      <c r="AB35" s="44"/>
    </row>
    <row r="36" spans="1:28">
      <c r="A36" s="1">
        <v>43019</v>
      </c>
      <c r="B36" t="s">
        <v>10</v>
      </c>
      <c r="C36" s="117" t="s">
        <v>18</v>
      </c>
      <c r="D36" s="129" t="s">
        <v>134</v>
      </c>
      <c r="E36" s="100">
        <v>3.5</v>
      </c>
      <c r="F36" s="86">
        <v>6</v>
      </c>
      <c r="G36" s="46">
        <v>7200</v>
      </c>
      <c r="H36" s="5">
        <v>4.16</v>
      </c>
      <c r="I36" s="5"/>
      <c r="J36" s="65">
        <f>(Table5[[#This Row],[RPM]]/5400-1)</f>
        <v>0.33333333333333326</v>
      </c>
      <c r="K36" s="49">
        <v>180</v>
      </c>
      <c r="L36">
        <v>5</v>
      </c>
      <c r="M36" s="40">
        <v>300000</v>
      </c>
      <c r="N36">
        <v>300</v>
      </c>
      <c r="O36" s="40"/>
      <c r="P36" s="39">
        <v>1000000000000000</v>
      </c>
      <c r="Q36" s="57">
        <v>24</v>
      </c>
      <c r="R36" s="5">
        <v>9</v>
      </c>
      <c r="S36" s="5">
        <v>7.2</v>
      </c>
      <c r="T36" s="130">
        <v>0.6</v>
      </c>
      <c r="U36" s="134">
        <f>(((Table5[[#This Row],[Watts Active]]*Power_On_Hours_Year/1000)*Active_Duty_Cycle)+((Table5[[#This Row],[Watts Idle]]*Power_On_Hours_Year/1000)*(100%-Active_Duty_Cycle)))*CostPerKWH</f>
        <v>8.2836432000000002</v>
      </c>
      <c r="V36" s="202">
        <f>Table5[Energy$year]/Table5[[#This Row],[SizTB]]</f>
        <v>1.3806072</v>
      </c>
      <c r="W36" s="200">
        <v>249.99</v>
      </c>
      <c r="X36" s="6">
        <f>Table5[[#This Row],[Cost]]/Table5[[#This Row],[SizTB]]*Exchange_Rate</f>
        <v>41.664999999999999</v>
      </c>
      <c r="Y36" s="206">
        <f>Table5[[#This Row],[Cost]]+((CompareWarrYrs-Table5[[#This Row],[S]])*(Incremental_Warr_Yr*Table5[[#This Row],[Cost]]))*Exchange_Rate</f>
        <v>249.99</v>
      </c>
      <c r="Z36" s="6">
        <f>Table5[[#This Row],[$+Warr]]/Table5[[#This Row],[SizTB]]</f>
        <v>41.664999999999999</v>
      </c>
      <c r="AA36" s="6">
        <f>Table5[[#This Row],[$PerTB]]/CompareWarrYrs</f>
        <v>8.3330000000000002</v>
      </c>
      <c r="AB36" s="44"/>
    </row>
    <row r="37" spans="1:28">
      <c r="A37" s="1">
        <v>43019</v>
      </c>
      <c r="B37" t="s">
        <v>10</v>
      </c>
      <c r="C37" s="117" t="s">
        <v>18</v>
      </c>
      <c r="D37" s="129" t="s">
        <v>134</v>
      </c>
      <c r="E37" s="100">
        <v>3.5</v>
      </c>
      <c r="F37" s="86">
        <v>8</v>
      </c>
      <c r="G37" s="46">
        <v>7200</v>
      </c>
      <c r="H37" s="5">
        <v>4.16</v>
      </c>
      <c r="I37" s="5"/>
      <c r="J37" s="65">
        <f>(Table5[[#This Row],[RPM]]/5400-1)</f>
        <v>0.33333333333333326</v>
      </c>
      <c r="K37" s="49">
        <v>220</v>
      </c>
      <c r="L37">
        <v>5</v>
      </c>
      <c r="M37" s="40">
        <v>300000</v>
      </c>
      <c r="N37">
        <v>300</v>
      </c>
      <c r="O37" s="40"/>
      <c r="P37" s="39">
        <v>1000000000000000</v>
      </c>
      <c r="Q37" s="57">
        <f>12*2</f>
        <v>24</v>
      </c>
      <c r="R37" s="5">
        <v>6.8</v>
      </c>
      <c r="S37" s="5">
        <v>4.5</v>
      </c>
      <c r="T37" s="130">
        <v>0.8</v>
      </c>
      <c r="U37" s="134">
        <f>(((Table5[[#This Row],[Watts Active]]*Power_On_Hours_Year/1000)*Active_Duty_Cycle)+((Table5[[#This Row],[Watts Idle]]*Power_On_Hours_Year/1000)*(100%-Active_Duty_Cycle)))*CostPerKWH</f>
        <v>5.4347712000000001</v>
      </c>
      <c r="V37" s="202">
        <f>Table5[Energy$year]/Table5[[#This Row],[SizTB]]</f>
        <v>0.67934640000000002</v>
      </c>
      <c r="W37" s="200">
        <v>324.99</v>
      </c>
      <c r="X37" s="6">
        <f>Table5[[#This Row],[Cost]]/Table5[[#This Row],[SizTB]]*Exchange_Rate</f>
        <v>40.623750000000001</v>
      </c>
      <c r="Y37" s="206">
        <f>Table5[[#This Row],[Cost]]+((CompareWarrYrs-Table5[[#This Row],[S]])*(Incremental_Warr_Yr*Table5[[#This Row],[Cost]]))*Exchange_Rate</f>
        <v>324.99</v>
      </c>
      <c r="Z37" s="6">
        <f>Table5[[#This Row],[$+Warr]]/Table5[[#This Row],[SizTB]]</f>
        <v>40.623750000000001</v>
      </c>
      <c r="AA37" s="6">
        <f>Table5[[#This Row],[$PerTB]]/CompareWarrYrs</f>
        <v>8.1247500000000006</v>
      </c>
      <c r="AB37" s="44"/>
    </row>
    <row r="38" spans="1:28">
      <c r="A38" s="1">
        <v>43019</v>
      </c>
      <c r="B38" t="s">
        <v>10</v>
      </c>
      <c r="C38" s="117" t="s">
        <v>18</v>
      </c>
      <c r="D38" s="129" t="s">
        <v>134</v>
      </c>
      <c r="E38" s="100">
        <v>3.5</v>
      </c>
      <c r="F38" s="86">
        <v>10</v>
      </c>
      <c r="G38" s="46">
        <v>7200</v>
      </c>
      <c r="H38" s="5">
        <v>4.16</v>
      </c>
      <c r="I38" s="5"/>
      <c r="J38" s="65">
        <f>(Table5[[#This Row],[RPM]]/5400-1)</f>
        <v>0.33333333333333326</v>
      </c>
      <c r="K38" s="49">
        <v>220</v>
      </c>
      <c r="L38">
        <v>5</v>
      </c>
      <c r="M38" s="40">
        <v>300000</v>
      </c>
      <c r="N38">
        <v>300</v>
      </c>
      <c r="O38" s="40"/>
      <c r="P38" s="39">
        <v>1000000000000000</v>
      </c>
      <c r="Q38" s="57">
        <f>12*1.8</f>
        <v>21.6</v>
      </c>
      <c r="R38" s="5">
        <v>6.8</v>
      </c>
      <c r="S38" s="5">
        <v>4.5</v>
      </c>
      <c r="T38" s="130">
        <v>0.8</v>
      </c>
      <c r="U38" s="134">
        <f>(((Table5[[#This Row],[Watts Active]]*Power_On_Hours_Year/1000)*Active_Duty_Cycle)+((Table5[[#This Row],[Watts Idle]]*Power_On_Hours_Year/1000)*(100%-Active_Duty_Cycle)))*CostPerKWH</f>
        <v>5.4347712000000001</v>
      </c>
      <c r="V38" s="202">
        <f>Table5[Energy$year]/Table5[[#This Row],[SizTB]]</f>
        <v>0.54347712000000004</v>
      </c>
      <c r="W38" s="200">
        <v>424.99</v>
      </c>
      <c r="X38" s="6">
        <f>Table5[[#This Row],[Cost]]/Table5[[#This Row],[SizTB]]*Exchange_Rate</f>
        <v>42.499000000000002</v>
      </c>
      <c r="Y38" s="206">
        <f>Table5[[#This Row],[Cost]]+((CompareWarrYrs-Table5[[#This Row],[S]])*(Incremental_Warr_Yr*Table5[[#This Row],[Cost]]))*Exchange_Rate</f>
        <v>424.99</v>
      </c>
      <c r="Z38" s="6">
        <f>Table5[[#This Row],[$+Warr]]/Table5[[#This Row],[SizTB]]</f>
        <v>42.499000000000002</v>
      </c>
      <c r="AA38" s="6">
        <f>Table5[[#This Row],[$PerTB]]/CompareWarrYrs</f>
        <v>8.4998000000000005</v>
      </c>
      <c r="AB38" s="44"/>
    </row>
    <row r="39" spans="1:28">
      <c r="A39" s="1">
        <v>43044</v>
      </c>
      <c r="B39" t="s">
        <v>10</v>
      </c>
      <c r="C39" s="117" t="s">
        <v>18</v>
      </c>
      <c r="D39" s="129" t="s">
        <v>134</v>
      </c>
      <c r="E39" s="100">
        <v>3.5</v>
      </c>
      <c r="F39" s="86">
        <v>12</v>
      </c>
      <c r="G39" s="46">
        <v>7200</v>
      </c>
      <c r="H39" s="5"/>
      <c r="I39" s="5"/>
      <c r="J39" s="65">
        <f>(Table5[[#This Row],[RPM]]/5400-1)</f>
        <v>0.33333333333333326</v>
      </c>
      <c r="K39" s="49">
        <v>250</v>
      </c>
      <c r="L39">
        <v>5</v>
      </c>
      <c r="M39" s="40">
        <v>300000</v>
      </c>
      <c r="N39">
        <v>300</v>
      </c>
      <c r="O39" s="40"/>
      <c r="P39" s="39"/>
      <c r="Q39" s="57"/>
      <c r="R39" s="5"/>
      <c r="S39" s="5"/>
      <c r="T39" s="130"/>
      <c r="U39" s="134"/>
      <c r="V39" s="202"/>
      <c r="W39" s="200">
        <v>519.99</v>
      </c>
      <c r="X39" s="6">
        <f>Table5[[#This Row],[Cost]]/Table5[[#This Row],[SizTB]]*Exchange_Rate</f>
        <v>43.332500000000003</v>
      </c>
      <c r="Y39" s="206">
        <f>Table5[[#This Row],[Cost]]+((CompareWarrYrs-Table5[[#This Row],[S]])*(Incremental_Warr_Yr*Table5[[#This Row],[Cost]]))*Exchange_Rate</f>
        <v>519.99</v>
      </c>
      <c r="Z39" s="6">
        <f>Table5[[#This Row],[$+Warr]]/Table5[[#This Row],[SizTB]]</f>
        <v>43.332500000000003</v>
      </c>
      <c r="AA39" s="6">
        <f>Table5[[#This Row],[$PerTB]]/CompareWarrYrs</f>
        <v>8.666500000000001</v>
      </c>
      <c r="AB39" s="44"/>
    </row>
    <row r="40" spans="1:28">
      <c r="A40" s="1">
        <v>43027</v>
      </c>
      <c r="B40" t="s">
        <v>10</v>
      </c>
      <c r="C40" s="117" t="s">
        <v>107</v>
      </c>
      <c r="D40" s="120" t="s">
        <v>50</v>
      </c>
      <c r="E40" s="100">
        <v>2.5</v>
      </c>
      <c r="F40" s="86">
        <v>1.8</v>
      </c>
      <c r="G40" s="46">
        <v>10500</v>
      </c>
      <c r="H40" s="5">
        <v>2.9</v>
      </c>
      <c r="I40" s="5"/>
      <c r="J40" s="65">
        <f>(Table5[[#This Row],[RPM]]/5400-1)</f>
        <v>0.94444444444444442</v>
      </c>
      <c r="K40" s="49">
        <v>270</v>
      </c>
      <c r="L40">
        <v>5</v>
      </c>
      <c r="M40" s="40"/>
      <c r="N40">
        <v>550</v>
      </c>
      <c r="O40" s="40">
        <v>2000000</v>
      </c>
      <c r="P40" s="39">
        <v>1E+16</v>
      </c>
      <c r="Q40" s="57"/>
      <c r="R40" s="5">
        <v>6.95</v>
      </c>
      <c r="S40" s="5">
        <v>4.26</v>
      </c>
      <c r="T40" s="130"/>
      <c r="U40" s="134">
        <f>(((Table5[[#This Row],[Watts Active]]*Power_On_Hours_Year/1000)*Active_Duty_Cycle)+((Table5[[#This Row],[Watts Idle]]*Power_On_Hours_Year/1000)*(100%-Active_Duty_Cycle)))*CostPerKWH</f>
        <v>5.2572645600000003</v>
      </c>
      <c r="V40" s="202">
        <f>Table5[Energy$year]/Table5[[#This Row],[SizTB]]</f>
        <v>2.9207025333333334</v>
      </c>
      <c r="W40" s="200"/>
      <c r="X40" s="6">
        <f>Table5[[#This Row],[Cost]]/Table5[[#This Row],[SizTB]]*Exchange_Rate</f>
        <v>0</v>
      </c>
      <c r="Y40" s="206">
        <f>Table5[[#This Row],[Cost]]+((CompareWarrYrs-Table5[[#This Row],[S]])*(Incremental_Warr_Yr*Table5[[#This Row],[Cost]]))*Exchange_Rate</f>
        <v>0</v>
      </c>
      <c r="Z40" s="6">
        <f>Table5[[#This Row],[$+Warr]]/Table5[[#This Row],[SizTB]]</f>
        <v>0</v>
      </c>
      <c r="AA40" s="6">
        <f>Table5[[#This Row],[$PerTB]]/CompareWarrYrs</f>
        <v>0</v>
      </c>
      <c r="AB40" s="44" t="s">
        <v>99</v>
      </c>
    </row>
    <row r="41" spans="1:28">
      <c r="A41" s="1">
        <v>43027</v>
      </c>
      <c r="B41" t="s">
        <v>10</v>
      </c>
      <c r="C41" s="117" t="s">
        <v>107</v>
      </c>
      <c r="D41" s="120" t="s">
        <v>50</v>
      </c>
      <c r="E41" s="100">
        <v>2.5</v>
      </c>
      <c r="F41" s="86">
        <v>2.4</v>
      </c>
      <c r="G41" s="46">
        <v>10500</v>
      </c>
      <c r="H41" s="5">
        <v>2.9</v>
      </c>
      <c r="I41" s="5"/>
      <c r="J41" s="65">
        <f>(Table5[[#This Row],[RPM]]/5400-1)</f>
        <v>0.94444444444444442</v>
      </c>
      <c r="K41" s="49">
        <v>270</v>
      </c>
      <c r="L41">
        <v>5</v>
      </c>
      <c r="M41" s="40"/>
      <c r="N41">
        <v>550</v>
      </c>
      <c r="O41" s="40">
        <v>2000000</v>
      </c>
      <c r="P41" s="39">
        <v>1E+16</v>
      </c>
      <c r="Q41" s="57"/>
      <c r="R41" s="5">
        <v>8.57</v>
      </c>
      <c r="S41" s="5">
        <v>4.9000000000000004</v>
      </c>
      <c r="T41" s="130"/>
      <c r="U41" s="134">
        <f>(((Table5[[#This Row],[Watts Active]]*Power_On_Hours_Year/1000)*Active_Duty_Cycle)+((Table5[[#This Row],[Watts Idle]]*Power_On_Hours_Year/1000)*(100%-Active_Duty_Cycle)))*CostPerKWH</f>
        <v>6.1732864799999998</v>
      </c>
      <c r="V41" s="202">
        <f>Table5[Energy$year]/Table5[[#This Row],[SizTB]]</f>
        <v>2.5722027000000001</v>
      </c>
      <c r="W41" s="200">
        <v>514.99</v>
      </c>
      <c r="X41" s="6">
        <f>Table5[[#This Row],[Cost]]/Table5[[#This Row],[SizTB]]*Exchange_Rate</f>
        <v>214.57916666666668</v>
      </c>
      <c r="Y41" s="206">
        <f>Table5[[#This Row],[Cost]]+((CompareWarrYrs-Table5[[#This Row],[S]])*(Incremental_Warr_Yr*Table5[[#This Row],[Cost]]))*Exchange_Rate</f>
        <v>514.99</v>
      </c>
      <c r="Z41" s="6">
        <f>Table5[[#This Row],[$+Warr]]/Table5[[#This Row],[SizTB]]</f>
        <v>214.57916666666668</v>
      </c>
      <c r="AA41" s="6">
        <f>Table5[[#This Row],[$PerTB]]/CompareWarrYrs</f>
        <v>42.915833333333339</v>
      </c>
      <c r="AB41" s="44" t="s">
        <v>99</v>
      </c>
    </row>
    <row r="42" spans="1:28">
      <c r="A42" s="1">
        <v>43027</v>
      </c>
      <c r="B42" t="s">
        <v>10</v>
      </c>
      <c r="C42" s="117" t="s">
        <v>108</v>
      </c>
      <c r="D42" s="120" t="s">
        <v>50</v>
      </c>
      <c r="E42" s="100">
        <v>3.5</v>
      </c>
      <c r="F42" s="86">
        <v>0.9</v>
      </c>
      <c r="G42" s="46">
        <v>15000</v>
      </c>
      <c r="H42" s="5">
        <v>2</v>
      </c>
      <c r="I42" s="5"/>
      <c r="J42" s="65">
        <f>(Table5[[#This Row],[RPM]]/5400-1)</f>
        <v>1.7777777777777777</v>
      </c>
      <c r="K42" s="49">
        <v>215</v>
      </c>
      <c r="L42">
        <v>5</v>
      </c>
      <c r="M42" s="40"/>
      <c r="N42">
        <v>550</v>
      </c>
      <c r="O42" s="40">
        <v>2000000</v>
      </c>
      <c r="P42" s="39">
        <v>1E+16</v>
      </c>
      <c r="Q42" s="57"/>
      <c r="R42" s="5">
        <v>7.6</v>
      </c>
      <c r="S42" s="5">
        <v>5.7</v>
      </c>
      <c r="T42" s="130"/>
      <c r="U42" s="134">
        <f>(((Table5[[#This Row],[Watts Active]]*Power_On_Hours_Year/1000)*Active_Duty_Cycle)+((Table5[[#This Row],[Watts Idle]]*Power_On_Hours_Year/1000)*(100%-Active_Duty_Cycle)))*CostPerKWH</f>
        <v>6.6619776000000002</v>
      </c>
      <c r="V42" s="202">
        <f>Table5[Energy$year]/Table5[[#This Row],[SizTB]]</f>
        <v>7.4021973333333335</v>
      </c>
      <c r="W42" s="200"/>
      <c r="X42" s="6">
        <f>Table5[[#This Row],[Cost]]/Table5[[#This Row],[SizTB]]*Exchange_Rate</f>
        <v>0</v>
      </c>
      <c r="Y42" s="206">
        <f>Table5[[#This Row],[Cost]]+((CompareWarrYrs-Table5[[#This Row],[S]])*(Incremental_Warr_Yr*Table5[[#This Row],[Cost]]))*Exchange_Rate</f>
        <v>0</v>
      </c>
      <c r="Z42" s="6">
        <f>Table5[[#This Row],[$+Warr]]/Table5[[#This Row],[SizTB]]</f>
        <v>0</v>
      </c>
      <c r="AA42" s="6">
        <f>Table5[[#This Row],[$PerTB]]/CompareWarrYrs</f>
        <v>0</v>
      </c>
      <c r="AB42" s="44" t="s">
        <v>45</v>
      </c>
    </row>
    <row r="43" spans="1:28">
      <c r="A43" s="1">
        <v>43027</v>
      </c>
      <c r="B43" t="s">
        <v>10</v>
      </c>
      <c r="C43" s="117" t="s">
        <v>110</v>
      </c>
      <c r="D43" s="120" t="s">
        <v>114</v>
      </c>
      <c r="E43" s="100">
        <v>3.5</v>
      </c>
      <c r="F43" s="86">
        <v>8</v>
      </c>
      <c r="G43" s="46">
        <v>5900</v>
      </c>
      <c r="H43" s="5"/>
      <c r="I43" s="5"/>
      <c r="J43" s="65">
        <f>(Table5[[#This Row],[RPM]]/5400-1)</f>
        <v>9.259259259259256E-2</v>
      </c>
      <c r="K43" s="49">
        <v>190</v>
      </c>
      <c r="L43">
        <v>3</v>
      </c>
      <c r="M43" s="40">
        <v>300000</v>
      </c>
      <c r="N43">
        <v>180</v>
      </c>
      <c r="O43" s="40">
        <v>800000</v>
      </c>
      <c r="P43" s="39">
        <f t="shared" ref="P43" si="4">10^14</f>
        <v>100000000000000</v>
      </c>
      <c r="Q43" s="57">
        <v>24</v>
      </c>
      <c r="R43" s="5">
        <v>5.3</v>
      </c>
      <c r="S43" s="5">
        <v>3.7</v>
      </c>
      <c r="T43" s="130">
        <v>0.99</v>
      </c>
      <c r="U43" s="134">
        <f>(((Table5[[#This Row],[Watts Active]]*Power_On_Hours_Year/1000)*Active_Duty_Cycle)+((Table5[[#This Row],[Watts Idle]]*Power_On_Hours_Year/1000)*(100%-Active_Duty_Cycle)))*CostPerKWH</f>
        <v>4.4047944000000001</v>
      </c>
      <c r="V43" s="202">
        <f>Table5[Energy$year]/Table5[[#This Row],[SizTB]]</f>
        <v>0.55059930000000001</v>
      </c>
      <c r="W43" s="200">
        <v>229.99</v>
      </c>
      <c r="X43" s="6">
        <f>Table5[[#This Row],[Cost]]/Table5[[#This Row],[SizTB]]*Exchange_Rate</f>
        <v>28.748750000000001</v>
      </c>
      <c r="Y43" s="206">
        <f>Table5[[#This Row],[Cost]]+((CompareWarrYrs-Table5[[#This Row],[S]])*(Incremental_Warr_Yr*Table5[[#This Row],[Cost]]))*Exchange_Rate</f>
        <v>280.58780000000002</v>
      </c>
      <c r="Z43" s="6">
        <f>Table5[[#This Row],[$+Warr]]/Table5[[#This Row],[SizTB]]</f>
        <v>35.073475000000002</v>
      </c>
      <c r="AA43" s="6">
        <f>Table5[[#This Row],[$PerTB]]/CompareWarrYrs</f>
        <v>7.0146950000000006</v>
      </c>
      <c r="AB43" s="114" t="s">
        <v>128</v>
      </c>
    </row>
    <row r="44" spans="1:28">
      <c r="A44" s="1">
        <v>43027</v>
      </c>
      <c r="B44" t="s">
        <v>10</v>
      </c>
      <c r="C44" s="117" t="s">
        <v>109</v>
      </c>
      <c r="D44" s="120" t="s">
        <v>50</v>
      </c>
      <c r="E44" s="100">
        <v>3.5</v>
      </c>
      <c r="F44" s="121">
        <v>1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194</v>
      </c>
      <c r="L44">
        <v>5</v>
      </c>
      <c r="M44" s="40"/>
      <c r="N44">
        <v>550</v>
      </c>
      <c r="O44" s="40">
        <v>2000000</v>
      </c>
      <c r="P44" s="39">
        <v>1000000000000000</v>
      </c>
      <c r="Q44" s="57"/>
      <c r="R44" s="5">
        <v>7</v>
      </c>
      <c r="S44" s="5">
        <v>4.7</v>
      </c>
      <c r="T44" s="130"/>
      <c r="U44" s="137">
        <f>((30/(1000/R44/24)*$G$137)+(30/(1000/S44/24)*(100%-$G$137)))*$G$136*12</f>
        <v>0</v>
      </c>
      <c r="V44" s="202">
        <f>Table5[Energy$year]/Table5[[#This Row],[SizTB]]</f>
        <v>0</v>
      </c>
      <c r="W44" s="200"/>
      <c r="X44" s="6">
        <f>Table5[[#This Row],[Cost]]/Table5[[#This Row],[SizTB]]*Exchange_Rate</f>
        <v>0</v>
      </c>
      <c r="Y44" s="206">
        <f>Table5[[#This Row],[Cost]]+((CompareWarrYrs-Table5[[#This Row],[S]])*(Incremental_Warr_Yr*Table5[[#This Row],[Cost]]))*Exchange_Rate</f>
        <v>0</v>
      </c>
      <c r="Z44" s="6">
        <f>Table5[[#This Row],[$+Warr]]/Table5[[#This Row],[SizTB]]</f>
        <v>0</v>
      </c>
      <c r="AA44" s="6">
        <f>Table5[[#This Row],[$PerTB]]/CompareWarrYrs</f>
        <v>0</v>
      </c>
      <c r="AB44" s="44"/>
    </row>
    <row r="45" spans="1:28">
      <c r="A45" s="1">
        <v>43027</v>
      </c>
      <c r="B45" t="s">
        <v>10</v>
      </c>
      <c r="C45" s="117" t="s">
        <v>109</v>
      </c>
      <c r="D45" s="120" t="s">
        <v>50</v>
      </c>
      <c r="E45" s="100">
        <v>3.5</v>
      </c>
      <c r="F45" s="121">
        <v>2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194</v>
      </c>
      <c r="L45">
        <v>5</v>
      </c>
      <c r="M45" s="40"/>
      <c r="N45">
        <v>550</v>
      </c>
      <c r="O45" s="40">
        <v>2000000</v>
      </c>
      <c r="P45" s="39">
        <v>1000000000000000</v>
      </c>
      <c r="Q45" s="57"/>
      <c r="R45" s="5">
        <v>7</v>
      </c>
      <c r="S45" s="5">
        <v>4.7</v>
      </c>
      <c r="T45" s="130"/>
      <c r="U45" s="137">
        <f>((30/(1000/R45/24)*$G$137)+(30/(1000/S45/24)*(100%-$G$137)))*$G$136*12</f>
        <v>0</v>
      </c>
      <c r="V45" s="202">
        <f>Table5[Energy$year]/Table5[[#This Row],[SizTB]]</f>
        <v>0</v>
      </c>
      <c r="W45" s="200">
        <v>306.60000000000002</v>
      </c>
      <c r="X45" s="6">
        <f>Table5[[#This Row],[Cost]]/Table5[[#This Row],[SizTB]]*Exchange_Rate</f>
        <v>153.30000000000001</v>
      </c>
      <c r="Y45" s="206">
        <f>Table5[[#This Row],[Cost]]+((CompareWarrYrs-Table5[[#This Row],[S]])*(Incremental_Warr_Yr*Table5[[#This Row],[Cost]]))*Exchange_Rate</f>
        <v>306.60000000000002</v>
      </c>
      <c r="Z45" s="6">
        <f>Table5[[#This Row],[$+Warr]]/Table5[[#This Row],[SizTB]]</f>
        <v>153.30000000000001</v>
      </c>
      <c r="AA45" s="6">
        <f>Table5[[#This Row],[$PerTB]]/CompareWarrYrs</f>
        <v>30.660000000000004</v>
      </c>
      <c r="AB45" s="44"/>
    </row>
    <row r="46" spans="1:28">
      <c r="A46" s="1">
        <v>43037</v>
      </c>
      <c r="B46" t="s">
        <v>10</v>
      </c>
      <c r="C46" s="117" t="s">
        <v>111</v>
      </c>
      <c r="D46" s="120" t="s">
        <v>50</v>
      </c>
      <c r="E46" s="100">
        <v>2.5</v>
      </c>
      <c r="F46" s="86">
        <v>1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136</v>
      </c>
      <c r="L46">
        <v>5</v>
      </c>
      <c r="M46" s="40">
        <v>300000</v>
      </c>
      <c r="N46">
        <v>550</v>
      </c>
      <c r="O46" s="40">
        <v>2000000</v>
      </c>
      <c r="P46" s="39">
        <v>1000000000000000</v>
      </c>
      <c r="Q46" s="57"/>
      <c r="R46" s="5">
        <v>5.9</v>
      </c>
      <c r="S46" s="10">
        <v>3.29</v>
      </c>
      <c r="T46" s="130">
        <v>1.52</v>
      </c>
      <c r="U46" s="134">
        <f>(((Table5[[#This Row],[Watts Active]]*Power_On_Hours_Year/1000)*Active_Duty_Cycle)+((Table5[[#This Row],[Watts Idle]]*Power_On_Hours_Year/1000)*(100%-Active_Duty_Cycle)))*CostPerKWH</f>
        <v>4.1768846400000008</v>
      </c>
      <c r="V46" s="202">
        <f>Table5[Energy$year]/Table5[[#This Row],[SizTB]]</f>
        <v>4.1768846400000008</v>
      </c>
      <c r="W46" s="200">
        <v>184.41</v>
      </c>
      <c r="X46" s="6">
        <f>Table5[[#This Row],[Cost]]/Table5[[#This Row],[SizTB]]*Exchange_Rate</f>
        <v>184.41</v>
      </c>
      <c r="Y46" s="206">
        <f>Table5[[#This Row],[Cost]]+((CompareWarrYrs-Table5[[#This Row],[S]])*(Incremental_Warr_Yr*Table5[[#This Row],[Cost]]))*Exchange_Rate</f>
        <v>184.41</v>
      </c>
      <c r="Z46" s="6">
        <f>Table5[[#This Row],[$+Warr]]/Table5[[#This Row],[SizTB]]</f>
        <v>184.41</v>
      </c>
      <c r="AA46" s="6">
        <f>Table5[[#This Row],[$PerTB]]/CompareWarrYrs</f>
        <v>36.881999999999998</v>
      </c>
      <c r="AB46" s="44"/>
    </row>
    <row r="47" spans="1:28">
      <c r="A47" s="1">
        <v>43027</v>
      </c>
      <c r="B47" t="s">
        <v>10</v>
      </c>
      <c r="C47" s="117" t="s">
        <v>111</v>
      </c>
      <c r="D47" s="120" t="s">
        <v>50</v>
      </c>
      <c r="E47" s="100">
        <v>2.5</v>
      </c>
      <c r="F47" s="86">
        <v>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136</v>
      </c>
      <c r="L47">
        <v>5</v>
      </c>
      <c r="M47" s="40">
        <v>300000</v>
      </c>
      <c r="N47">
        <v>550</v>
      </c>
      <c r="O47" s="40">
        <v>2000000</v>
      </c>
      <c r="P47" s="39">
        <v>1000000000000000</v>
      </c>
      <c r="Q47" s="57"/>
      <c r="R47" s="5">
        <v>6.02</v>
      </c>
      <c r="S47" s="10">
        <v>3.53</v>
      </c>
      <c r="T47" s="130">
        <v>1.52</v>
      </c>
      <c r="U47" s="134">
        <f>(((Table5[[#This Row],[Watts Active]]*Power_On_Hours_Year/1000)*Active_Duty_Cycle)+((Table5[[#This Row],[Watts Idle]]*Power_On_Hours_Year/1000)*(100%-Active_Duty_Cycle)))*CostPerKWH</f>
        <v>4.4135601600000003</v>
      </c>
      <c r="V47" s="202">
        <f>Table5[Energy$year]/Table5[[#This Row],[SizTB]]</f>
        <v>2.2067800800000001</v>
      </c>
      <c r="W47" s="200">
        <v>329.99</v>
      </c>
      <c r="X47" s="6">
        <f>Table5[[#This Row],[Cost]]/Table5[[#This Row],[SizTB]]*Exchange_Rate</f>
        <v>164.995</v>
      </c>
      <c r="Y47" s="206">
        <f>Table5[[#This Row],[Cost]]+((CompareWarrYrs-Table5[[#This Row],[S]])*(Incremental_Warr_Yr*Table5[[#This Row],[Cost]]))*Exchange_Rate</f>
        <v>329.99</v>
      </c>
      <c r="Z47" s="6">
        <f>Table5[[#This Row],[$+Warr]]/Table5[[#This Row],[SizTB]]</f>
        <v>164.995</v>
      </c>
      <c r="AA47" s="6">
        <f>Table5[[#This Row],[$PerTB]]/CompareWarrYrs</f>
        <v>32.999000000000002</v>
      </c>
      <c r="AB47" s="44"/>
    </row>
    <row r="48" spans="1:28">
      <c r="A48" s="1">
        <v>43027</v>
      </c>
      <c r="B48" t="s">
        <v>10</v>
      </c>
      <c r="C48" s="117" t="s">
        <v>106</v>
      </c>
      <c r="D48" s="31" t="s">
        <v>50</v>
      </c>
      <c r="E48" s="100">
        <v>3.5</v>
      </c>
      <c r="F48" s="86">
        <v>1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215</v>
      </c>
      <c r="L48">
        <v>5</v>
      </c>
      <c r="M48" s="40"/>
      <c r="N48">
        <v>550</v>
      </c>
      <c r="O48" s="40">
        <v>2000000</v>
      </c>
      <c r="P48" s="39">
        <v>1000000000000000</v>
      </c>
      <c r="Q48" s="57"/>
      <c r="R48" s="5">
        <v>5.91</v>
      </c>
      <c r="S48" s="5">
        <v>4.25</v>
      </c>
      <c r="T48" s="130"/>
      <c r="U48" s="134">
        <f>(((Table5[[#This Row],[Watts Active]]*Power_On_Hours_Year/1000)*Active_Duty_Cycle)+((Table5[[#This Row],[Watts Idle]]*Power_On_Hours_Year/1000)*(100%-Active_Duty_Cycle)))*CostPerKWH</f>
        <v>5.0205890399999999</v>
      </c>
      <c r="V48" s="202">
        <f>Table5[Energy$year]/Table5[[#This Row],[SizTB]]</f>
        <v>5.0205890399999999</v>
      </c>
      <c r="W48" s="200">
        <v>99.99</v>
      </c>
      <c r="X48" s="6">
        <f>Table5[[#This Row],[Cost]]/Table5[[#This Row],[SizTB]]*Exchange_Rate</f>
        <v>99.99</v>
      </c>
      <c r="Y48" s="206">
        <f>Table5[[#This Row],[Cost]]+((CompareWarrYrs-Table5[[#This Row],[S]])*(Incremental_Warr_Yr*Table5[[#This Row],[Cost]]))*Exchange_Rate</f>
        <v>99.99</v>
      </c>
      <c r="Z48" s="6">
        <f>Table5[[#This Row],[$+Warr]]/Table5[[#This Row],[SizTB]]</f>
        <v>99.99</v>
      </c>
      <c r="AA48" s="6">
        <f>Table5[[#This Row],[$PerTB]]/CompareWarrYrs</f>
        <v>19.997999999999998</v>
      </c>
      <c r="AB48" s="44"/>
    </row>
    <row r="49" spans="1:28">
      <c r="A49" s="1">
        <v>43044</v>
      </c>
      <c r="B49" t="s">
        <v>10</v>
      </c>
      <c r="C49" s="117" t="s">
        <v>106</v>
      </c>
      <c r="D49" s="31" t="s">
        <v>50</v>
      </c>
      <c r="E49" s="100">
        <v>3.5</v>
      </c>
      <c r="F49" s="86">
        <v>2</v>
      </c>
      <c r="G49" s="46">
        <v>7200</v>
      </c>
      <c r="H49" s="5">
        <v>4.16</v>
      </c>
      <c r="I49" s="5"/>
      <c r="J49" s="65">
        <f>(Table5[[#This Row],[RPM]]/5400-1)</f>
        <v>0.33333333333333326</v>
      </c>
      <c r="K49" s="49">
        <v>226</v>
      </c>
      <c r="L49">
        <v>5</v>
      </c>
      <c r="M49" s="40"/>
      <c r="N49">
        <v>550</v>
      </c>
      <c r="O49" s="40">
        <v>2000000</v>
      </c>
      <c r="P49" s="39">
        <v>1000000000000000</v>
      </c>
      <c r="Q49" s="57"/>
      <c r="R49" s="5">
        <v>5.9</v>
      </c>
      <c r="S49" s="5">
        <v>4.25</v>
      </c>
      <c r="T49" s="130">
        <v>0.6</v>
      </c>
      <c r="U49" s="134">
        <f>(((Table5[[#This Row],[Watts Active]]*Power_On_Hours_Year/1000)*Active_Duty_Cycle)+((Table5[[#This Row],[Watts Idle]]*Power_On_Hours_Year/1000)*(100%-Active_Duty_Cycle)))*CostPerKWH</f>
        <v>5.0183976000000001</v>
      </c>
      <c r="V49" s="202">
        <f>Table5[Energy$year]/Table5[[#This Row],[SizTB]]</f>
        <v>2.5091988000000001</v>
      </c>
      <c r="W49" s="200">
        <v>139.99</v>
      </c>
      <c r="X49" s="6">
        <f>Table5[[#This Row],[Cost]]/Table5[[#This Row],[SizTB]]*Exchange_Rate</f>
        <v>69.995000000000005</v>
      </c>
      <c r="Y49" s="206">
        <f>Table5[[#This Row],[Cost]]+((CompareWarrYrs-Table5[[#This Row],[S]])*(Incremental_Warr_Yr*Table5[[#This Row],[Cost]]))*Exchange_Rate</f>
        <v>139.99</v>
      </c>
      <c r="Z49" s="6">
        <f>Table5[[#This Row],[$+Warr]]/Table5[[#This Row],[SizTB]]</f>
        <v>69.995000000000005</v>
      </c>
      <c r="AA49" s="6">
        <f>Table5[[#This Row],[$PerTB]]/CompareWarrYrs</f>
        <v>13.999000000000001</v>
      </c>
      <c r="AB49" s="44"/>
    </row>
    <row r="50" spans="1:28">
      <c r="A50" s="1">
        <v>43044</v>
      </c>
      <c r="B50" t="s">
        <v>10</v>
      </c>
      <c r="C50" s="117" t="s">
        <v>106</v>
      </c>
      <c r="D50" s="31" t="s">
        <v>50</v>
      </c>
      <c r="E50" s="100">
        <v>3.5</v>
      </c>
      <c r="F50" s="86">
        <v>4</v>
      </c>
      <c r="G50" s="46">
        <v>7200</v>
      </c>
      <c r="H50" s="5">
        <v>4.16</v>
      </c>
      <c r="I50" s="5"/>
      <c r="J50" s="65">
        <f>(Table5[[#This Row],[RPM]]/5400-1)</f>
        <v>0.33333333333333326</v>
      </c>
      <c r="K50" s="49">
        <v>226</v>
      </c>
      <c r="L50">
        <v>5</v>
      </c>
      <c r="M50" s="40"/>
      <c r="N50">
        <v>550</v>
      </c>
      <c r="O50" s="40">
        <v>2000000</v>
      </c>
      <c r="P50" s="39">
        <v>1000000000000000</v>
      </c>
      <c r="Q50" s="57"/>
      <c r="R50" s="5">
        <v>6.94</v>
      </c>
      <c r="S50" s="5">
        <v>5.45</v>
      </c>
      <c r="T50" s="130">
        <v>0.6</v>
      </c>
      <c r="U50" s="134">
        <f>(((Table5[[#This Row],[Watts Active]]*Power_On_Hours_Year/1000)*Active_Duty_Cycle)+((Table5[[#This Row],[Watts Idle]]*Power_On_Hours_Year/1000)*(100%-Active_Duty_Cycle)))*CostPerKWH</f>
        <v>6.2981985600000003</v>
      </c>
      <c r="V50" s="202">
        <f>Table5[Energy$year]/Table5[[#This Row],[SizTB]]</f>
        <v>1.5745496400000001</v>
      </c>
      <c r="W50" s="200">
        <v>189.99</v>
      </c>
      <c r="X50" s="6">
        <f>Table5[[#This Row],[Cost]]/Table5[[#This Row],[SizTB]]*Exchange_Rate</f>
        <v>47.497500000000002</v>
      </c>
      <c r="Y50" s="206">
        <f>Table5[[#This Row],[Cost]]+((CompareWarrYrs-Table5[[#This Row],[S]])*(Incremental_Warr_Yr*Table5[[#This Row],[Cost]]))*Exchange_Rate</f>
        <v>189.99</v>
      </c>
      <c r="Z50" s="6">
        <f>Table5[[#This Row],[$+Warr]]/Table5[[#This Row],[SizTB]]</f>
        <v>47.497500000000002</v>
      </c>
      <c r="AA50" s="6">
        <f>Table5[[#This Row],[$PerTB]]/CompareWarrYrs</f>
        <v>9.4995000000000012</v>
      </c>
      <c r="AB50" s="44"/>
    </row>
    <row r="51" spans="1:28">
      <c r="A51" s="1">
        <v>43044</v>
      </c>
      <c r="B51" t="s">
        <v>10</v>
      </c>
      <c r="C51" s="117" t="s">
        <v>106</v>
      </c>
      <c r="D51" s="31" t="s">
        <v>50</v>
      </c>
      <c r="E51" s="100">
        <v>3.5</v>
      </c>
      <c r="F51" s="86">
        <v>6</v>
      </c>
      <c r="G51" s="46">
        <v>7200</v>
      </c>
      <c r="H51" s="5">
        <v>4.16</v>
      </c>
      <c r="I51" s="5"/>
      <c r="J51" s="65">
        <f>(Table5[[#This Row],[RPM]]/5400-1)</f>
        <v>0.33333333333333326</v>
      </c>
      <c r="K51" s="49">
        <v>226</v>
      </c>
      <c r="L51">
        <v>5</v>
      </c>
      <c r="M51" s="40"/>
      <c r="N51">
        <v>550</v>
      </c>
      <c r="O51" s="40">
        <v>2000000</v>
      </c>
      <c r="P51" s="39">
        <v>1000000000000000</v>
      </c>
      <c r="Q51" s="57"/>
      <c r="R51" s="5">
        <v>8.59</v>
      </c>
      <c r="S51" s="5">
        <v>6.26</v>
      </c>
      <c r="T51" s="130">
        <v>0.6</v>
      </c>
      <c r="U51" s="134">
        <f>(((Table5[[#This Row],[Watts Active]]*Power_On_Hours_Year/1000)*Active_Duty_Cycle)+((Table5[[#This Row],[Watts Idle]]*Power_On_Hours_Year/1000)*(100%-Active_Duty_Cycle)))*CostPerKWH</f>
        <v>7.3698127200000005</v>
      </c>
      <c r="V51" s="202">
        <f>Table5[Energy$year]/Table5[[#This Row],[SizTB]]</f>
        <v>1.2283021200000002</v>
      </c>
      <c r="W51" s="200">
        <v>244.99</v>
      </c>
      <c r="X51" s="6">
        <f>Table5[[#This Row],[Cost]]/Table5[[#This Row],[SizTB]]*Exchange_Rate</f>
        <v>40.831666666666671</v>
      </c>
      <c r="Y51" s="206">
        <f>Table5[[#This Row],[Cost]]+((CompareWarrYrs-Table5[[#This Row],[S]])*(Incremental_Warr_Yr*Table5[[#This Row],[Cost]]))*Exchange_Rate</f>
        <v>244.99</v>
      </c>
      <c r="Z51" s="6">
        <f>Table5[[#This Row],[$+Warr]]/Table5[[#This Row],[SizTB]]</f>
        <v>40.831666666666671</v>
      </c>
      <c r="AA51" s="6">
        <f>Table5[[#This Row],[$PerTB]]/CompareWarrYrs</f>
        <v>8.1663333333333341</v>
      </c>
      <c r="AB51" s="44"/>
    </row>
    <row r="52" spans="1:28">
      <c r="A52" s="1">
        <v>43044</v>
      </c>
      <c r="B52" t="s">
        <v>10</v>
      </c>
      <c r="C52" s="117" t="s">
        <v>106</v>
      </c>
      <c r="D52" s="31" t="s">
        <v>50</v>
      </c>
      <c r="E52" s="100">
        <v>3.5</v>
      </c>
      <c r="F52" s="86">
        <v>8</v>
      </c>
      <c r="G52" s="46">
        <v>7200</v>
      </c>
      <c r="H52" s="5">
        <v>4.16</v>
      </c>
      <c r="I52" s="5"/>
      <c r="J52" s="65">
        <f>(Table5[[#This Row],[RPM]]/5400-1)</f>
        <v>0.33333333333333326</v>
      </c>
      <c r="K52" s="49">
        <v>249</v>
      </c>
      <c r="L52">
        <v>5</v>
      </c>
      <c r="M52" s="40"/>
      <c r="N52">
        <v>550</v>
      </c>
      <c r="O52" s="40">
        <v>2000000</v>
      </c>
      <c r="P52" s="39">
        <v>1000000000000000</v>
      </c>
      <c r="Q52" s="57"/>
      <c r="R52" s="5">
        <v>11</v>
      </c>
      <c r="S52" s="5">
        <v>7.6</v>
      </c>
      <c r="T52" s="130">
        <v>0.6</v>
      </c>
      <c r="U52" s="134">
        <f>(((Table5[[#This Row],[Watts Active]]*Power_On_Hours_Year/1000)*Active_Duty_Cycle)+((Table5[[#This Row],[Watts Idle]]*Power_On_Hours_Year/1000)*(100%-Active_Duty_Cycle)))*CostPerKWH</f>
        <v>9.0725616000000002</v>
      </c>
      <c r="V52" s="202">
        <f>Table5[Energy$year]/Table5[[#This Row],[SizTB]]</f>
        <v>1.1340702</v>
      </c>
      <c r="W52" s="200">
        <v>289.99</v>
      </c>
      <c r="X52" s="6">
        <f>Table5[[#This Row],[Cost]]/Table5[[#This Row],[SizTB]]*Exchange_Rate</f>
        <v>36.248750000000001</v>
      </c>
      <c r="Y52" s="206">
        <f>Table5[[#This Row],[Cost]]+((CompareWarrYrs-Table5[[#This Row],[S]])*(Incremental_Warr_Yr*Table5[[#This Row],[Cost]]))*Exchange_Rate</f>
        <v>289.99</v>
      </c>
      <c r="Z52" s="6">
        <f>Table5[[#This Row],[$+Warr]]/Table5[[#This Row],[SizTB]]</f>
        <v>36.248750000000001</v>
      </c>
      <c r="AA52" s="6">
        <f>Table5[[#This Row],[$PerTB]]/CompareWarrYrs</f>
        <v>7.2497500000000006</v>
      </c>
      <c r="AB52" s="44"/>
    </row>
    <row r="53" spans="1:28">
      <c r="A53" s="1">
        <v>43027</v>
      </c>
      <c r="B53" t="s">
        <v>10</v>
      </c>
      <c r="C53" s="117" t="s">
        <v>113</v>
      </c>
      <c r="D53" s="120" t="s">
        <v>50</v>
      </c>
      <c r="E53" s="100">
        <v>3.5</v>
      </c>
      <c r="F53" s="86">
        <v>8</v>
      </c>
      <c r="G53" s="46">
        <v>7200</v>
      </c>
      <c r="H53" s="5">
        <v>4.16</v>
      </c>
      <c r="I53" s="5"/>
      <c r="J53" s="65">
        <f>(Table5[[#This Row],[RPM]]/5400-1)</f>
        <v>0.33333333333333326</v>
      </c>
      <c r="K53" s="49">
        <v>237</v>
      </c>
      <c r="L53">
        <v>5</v>
      </c>
      <c r="M53" s="40">
        <v>600000</v>
      </c>
      <c r="N53">
        <v>550</v>
      </c>
      <c r="O53" s="40">
        <v>2500000</v>
      </c>
      <c r="P53" s="39">
        <v>1000000000000000</v>
      </c>
      <c r="Q53" s="57">
        <v>26.21</v>
      </c>
      <c r="R53" s="5">
        <v>7.8</v>
      </c>
      <c r="S53" s="43">
        <v>5</v>
      </c>
      <c r="T53" s="130">
        <v>0.8</v>
      </c>
      <c r="U53" s="134">
        <f>(((Table5[[#This Row],[Watts Active]]*Power_On_Hours_Year/1000)*Active_Duty_Cycle)+((Table5[[#This Row],[Watts Idle]]*Power_On_Hours_Year/1000)*(100%-Active_Duty_Cycle)))*CostPerKWH</f>
        <v>6.0922032000000002</v>
      </c>
      <c r="V53" s="202">
        <f>Table5[Energy$year]/Table5[[#This Row],[SizTB]]</f>
        <v>0.76152540000000002</v>
      </c>
      <c r="W53" s="200">
        <v>259.99</v>
      </c>
      <c r="X53" s="6">
        <f>Table5[[#This Row],[Cost]]/Table5[[#This Row],[SizTB]]*Exchange_Rate</f>
        <v>32.498750000000001</v>
      </c>
      <c r="Y53" s="206">
        <f>Table5[[#This Row],[Cost]]+((CompareWarrYrs-Table5[[#This Row],[S]])*(Incremental_Warr_Yr*Table5[[#This Row],[Cost]]))*Exchange_Rate</f>
        <v>259.99</v>
      </c>
      <c r="Z53" s="6">
        <f>Table5[[#This Row],[$+Warr]]/Table5[[#This Row],[SizTB]]</f>
        <v>32.498750000000001</v>
      </c>
      <c r="AA53" s="6">
        <f>Table5[[#This Row],[$PerTB]]/CompareWarrYrs</f>
        <v>6.4997500000000006</v>
      </c>
      <c r="AB53" s="44" t="s">
        <v>38</v>
      </c>
    </row>
    <row r="54" spans="1:28">
      <c r="A54" s="1">
        <v>43027</v>
      </c>
      <c r="B54" t="s">
        <v>10</v>
      </c>
      <c r="C54" s="117" t="s">
        <v>113</v>
      </c>
      <c r="D54" s="120" t="s">
        <v>50</v>
      </c>
      <c r="E54" s="100">
        <v>3.5</v>
      </c>
      <c r="F54" s="86">
        <v>10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237</v>
      </c>
      <c r="L54">
        <v>5</v>
      </c>
      <c r="M54" s="40">
        <v>600000</v>
      </c>
      <c r="N54">
        <v>550</v>
      </c>
      <c r="O54" s="40">
        <v>2500000</v>
      </c>
      <c r="P54" s="39">
        <v>1000000000000000</v>
      </c>
      <c r="Q54" s="57">
        <f>0.58*5+1.94*12</f>
        <v>26.18</v>
      </c>
      <c r="R54" s="5">
        <v>7.8</v>
      </c>
      <c r="S54" s="43">
        <v>5</v>
      </c>
      <c r="T54" s="130">
        <v>0.8</v>
      </c>
      <c r="U54" s="134">
        <f>(((Table5[[#This Row],[Watts Active]]*Power_On_Hours_Year/1000)*Active_Duty_Cycle)+((Table5[[#This Row],[Watts Idle]]*Power_On_Hours_Year/1000)*(100%-Active_Duty_Cycle)))*CostPerKWH</f>
        <v>6.0922032000000002</v>
      </c>
      <c r="V54" s="202">
        <f>Table5[Energy$year]/Table5[[#This Row],[SizTB]]</f>
        <v>0.60922032000000004</v>
      </c>
      <c r="W54" s="200">
        <v>364.99</v>
      </c>
      <c r="X54" s="6">
        <f>Table5[[#This Row],[Cost]]/Table5[[#This Row],[SizTB]]*Exchange_Rate</f>
        <v>36.499000000000002</v>
      </c>
      <c r="Y54" s="206">
        <f>Table5[[#This Row],[Cost]]+((CompareWarrYrs-Table5[[#This Row],[S]])*(Incremental_Warr_Yr*Table5[[#This Row],[Cost]]))*Exchange_Rate</f>
        <v>364.99</v>
      </c>
      <c r="Z54" s="6">
        <f>Table5[[#This Row],[$+Warr]]/Table5[[#This Row],[SizTB]]</f>
        <v>36.499000000000002</v>
      </c>
      <c r="AA54" s="6">
        <f>Table5[[#This Row],[$PerTB]]/CompareWarrYrs</f>
        <v>7.2998000000000003</v>
      </c>
      <c r="AB54" s="44" t="s">
        <v>38</v>
      </c>
    </row>
    <row r="55" spans="1:28">
      <c r="A55" s="1">
        <v>43027</v>
      </c>
      <c r="B55" t="s">
        <v>10</v>
      </c>
      <c r="C55" s="117" t="s">
        <v>112</v>
      </c>
      <c r="D55" s="120" t="s">
        <v>50</v>
      </c>
      <c r="E55" s="100">
        <v>3.5</v>
      </c>
      <c r="F55" s="86">
        <v>12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261</v>
      </c>
      <c r="L55">
        <v>5</v>
      </c>
      <c r="M55" s="40">
        <v>600000</v>
      </c>
      <c r="N55">
        <v>550</v>
      </c>
      <c r="O55" s="40">
        <v>2500000</v>
      </c>
      <c r="P55" s="39">
        <v>1000000000000000</v>
      </c>
      <c r="Q55" s="57">
        <f>0.914*5+1.729*12</f>
        <v>25.318000000000001</v>
      </c>
      <c r="R55" s="5">
        <v>7.8</v>
      </c>
      <c r="S55" s="43">
        <v>5</v>
      </c>
      <c r="T55" s="130">
        <v>1.1499999999999999</v>
      </c>
      <c r="U55" s="134">
        <f>(((Table5[[#This Row],[Watts Active]]*Power_On_Hours_Year/1000)*Active_Duty_Cycle)+((Table5[[#This Row],[Watts Idle]]*Power_On_Hours_Year/1000)*(100%-Active_Duty_Cycle)))*CostPerKWH</f>
        <v>6.0922032000000002</v>
      </c>
      <c r="V55" s="202">
        <f>Table5[Energy$year]/Table5[[#This Row],[SizTB]]</f>
        <v>0.50768360000000001</v>
      </c>
      <c r="W55" s="200">
        <v>489.22</v>
      </c>
      <c r="X55" s="6">
        <f>Table5[[#This Row],[Cost]]/Table5[[#This Row],[SizTB]]*Exchange_Rate</f>
        <v>40.768333333333338</v>
      </c>
      <c r="Y55" s="206">
        <f>Table5[[#This Row],[Cost]]+((CompareWarrYrs-Table5[[#This Row],[S]])*(Incremental_Warr_Yr*Table5[[#This Row],[Cost]]))*Exchange_Rate</f>
        <v>489.22</v>
      </c>
      <c r="Z55" s="6">
        <f>Table5[[#This Row],[$+Warr]]/Table5[[#This Row],[SizTB]]</f>
        <v>40.768333333333338</v>
      </c>
      <c r="AA55" s="6">
        <f>Table5[[#This Row],[$PerTB]]/CompareWarrYrs</f>
        <v>8.153666666666668</v>
      </c>
      <c r="AB55" s="44" t="s">
        <v>38</v>
      </c>
    </row>
    <row r="56" spans="1:28">
      <c r="A56" s="1">
        <v>43044</v>
      </c>
      <c r="B56" t="s">
        <v>10</v>
      </c>
      <c r="C56" s="117" t="s">
        <v>44</v>
      </c>
      <c r="D56" s="31" t="s">
        <v>134</v>
      </c>
      <c r="E56" s="100">
        <v>3.5</v>
      </c>
      <c r="F56" s="86">
        <v>1</v>
      </c>
      <c r="G56" s="46">
        <v>7200</v>
      </c>
      <c r="H56" s="5"/>
      <c r="I56" s="5"/>
      <c r="J56" s="65">
        <f>(Table5[[#This Row],[RPM]]/5400-1)</f>
        <v>0.33333333333333326</v>
      </c>
      <c r="K56" s="49"/>
      <c r="L56">
        <v>5</v>
      </c>
      <c r="M56" s="40"/>
      <c r="O56" s="40"/>
      <c r="P56" s="39"/>
      <c r="Q56" s="57">
        <v>24</v>
      </c>
      <c r="R56" s="5">
        <v>5.9</v>
      </c>
      <c r="S56" s="5">
        <v>4.5</v>
      </c>
      <c r="T56" s="130">
        <v>0.63</v>
      </c>
      <c r="U56" s="134">
        <f>(((Table5[[#This Row],[Watts Active]]*Power_On_Hours_Year/1000)*Active_Duty_Cycle)+((Table5[[#This Row],[Watts Idle]]*Power_On_Hours_Year/1000)*(100%-Active_Duty_Cycle)))*CostPerKWH</f>
        <v>5.2375416000000001</v>
      </c>
      <c r="V56" s="202">
        <f>Table5[Energy$year]/Table5[[#This Row],[SizTB]]</f>
        <v>5.2375416000000001</v>
      </c>
      <c r="W56" s="200">
        <v>87.22</v>
      </c>
      <c r="X56" s="6">
        <f>Table5[[#This Row],[Cost]]/Table5[[#This Row],[SizTB]]*Exchange_Rate</f>
        <v>87.22</v>
      </c>
      <c r="Y56" s="206">
        <f>Table5[[#This Row],[Cost]]+((CompareWarrYrs-Table5[[#This Row],[S]])*(Incremental_Warr_Yr*Table5[[#This Row],[Cost]]))*Exchange_Rate</f>
        <v>87.22</v>
      </c>
      <c r="Z56" s="6">
        <f>Table5[[#This Row],[$+Warr]]/Table5[[#This Row],[SizTB]]</f>
        <v>87.22</v>
      </c>
      <c r="AA56" s="6">
        <f>Table5[[#This Row],[$PerTB]]/CompareWarrYrs</f>
        <v>17.443999999999999</v>
      </c>
      <c r="AB56" s="44" t="s">
        <v>45</v>
      </c>
    </row>
    <row r="57" spans="1:28">
      <c r="A57" s="1">
        <v>43044</v>
      </c>
      <c r="B57" t="s">
        <v>10</v>
      </c>
      <c r="C57" s="117" t="s">
        <v>44</v>
      </c>
      <c r="D57" s="31" t="s">
        <v>134</v>
      </c>
      <c r="E57" s="100">
        <v>3.5</v>
      </c>
      <c r="F57" s="86">
        <v>2</v>
      </c>
      <c r="G57" s="46">
        <v>7200</v>
      </c>
      <c r="H57" s="5"/>
      <c r="I57" s="5"/>
      <c r="J57" s="65">
        <f>(Table5[[#This Row],[RPM]]/5400-1)</f>
        <v>0.33333333333333326</v>
      </c>
      <c r="K57" s="49"/>
      <c r="L57">
        <v>5</v>
      </c>
      <c r="M57" s="40"/>
      <c r="O57" s="40"/>
      <c r="P57" s="39"/>
      <c r="Q57" s="57">
        <v>24</v>
      </c>
      <c r="R57" s="5">
        <v>6.7</v>
      </c>
      <c r="S57" s="5">
        <v>3.36</v>
      </c>
      <c r="T57" s="130">
        <v>0.75</v>
      </c>
      <c r="U57" s="134">
        <f>(((Table5[[#This Row],[Watts Active]]*Power_On_Hours_Year/1000)*Active_Duty_Cycle)+((Table5[[#This Row],[Watts Idle]]*Power_On_Hours_Year/1000)*(100%-Active_Duty_Cycle)))*CostPerKWH</f>
        <v>4.4135601600000003</v>
      </c>
      <c r="V57" s="202">
        <f>Table5[Energy$year]/Table5[[#This Row],[SizTB]]</f>
        <v>2.2067800800000001</v>
      </c>
      <c r="W57" s="200">
        <v>113.7</v>
      </c>
      <c r="X57" s="6">
        <f>Table5[[#This Row],[Cost]]/Table5[[#This Row],[SizTB]]*Exchange_Rate</f>
        <v>56.85</v>
      </c>
      <c r="Y57" s="206">
        <f>Table5[[#This Row],[Cost]]+((CompareWarrYrs-Table5[[#This Row],[S]])*(Incremental_Warr_Yr*Table5[[#This Row],[Cost]]))*Exchange_Rate</f>
        <v>113.7</v>
      </c>
      <c r="Z57" s="6">
        <f>Table5[[#This Row],[$+Warr]]/Table5[[#This Row],[SizTB]]</f>
        <v>56.85</v>
      </c>
      <c r="AA57" s="6">
        <f>Table5[[#This Row],[$PerTB]]/CompareWarrYrs</f>
        <v>11.370000000000001</v>
      </c>
      <c r="AB57" s="44" t="s">
        <v>45</v>
      </c>
    </row>
    <row r="58" spans="1:28">
      <c r="A58" s="1">
        <v>43044</v>
      </c>
      <c r="B58" t="s">
        <v>10</v>
      </c>
      <c r="C58" s="117" t="s">
        <v>44</v>
      </c>
      <c r="D58" s="31" t="s">
        <v>133</v>
      </c>
      <c r="E58" s="100">
        <v>2.5</v>
      </c>
      <c r="F58" s="86">
        <v>1</v>
      </c>
      <c r="G58" s="46">
        <v>5400</v>
      </c>
      <c r="H58" s="5"/>
      <c r="I58" s="5"/>
      <c r="J58" s="65">
        <f>(Table5[[#This Row],[RPM]]/5400-1)</f>
        <v>0</v>
      </c>
      <c r="K58" s="49"/>
      <c r="L58">
        <v>5</v>
      </c>
      <c r="M58" s="40"/>
      <c r="O58" s="40"/>
      <c r="P58" s="39"/>
      <c r="Q58" s="57">
        <v>5</v>
      </c>
      <c r="R58" s="5">
        <v>1.7</v>
      </c>
      <c r="S58" s="5">
        <v>1.45</v>
      </c>
      <c r="T58" s="130"/>
      <c r="U58" s="134">
        <f>(((Table5[[#This Row],[Watts Active]]*Power_On_Hours_Year/1000)*Active_Duty_Cycle)+((Table5[[#This Row],[Watts Idle]]*Power_On_Hours_Year/1000)*(100%-Active_Duty_Cycle)))*CostPerKWH</f>
        <v>1.64358</v>
      </c>
      <c r="V58" s="202">
        <f>Table5[Energy$year]/Table5[[#This Row],[SizTB]]</f>
        <v>1.64358</v>
      </c>
      <c r="W58" s="200">
        <v>68.319999999999993</v>
      </c>
      <c r="X58" s="6">
        <f>Table5[[#This Row],[Cost]]/Table5[[#This Row],[SizTB]]*Exchange_Rate</f>
        <v>68.319999999999993</v>
      </c>
      <c r="Y58" s="206">
        <f>Table5[[#This Row],[Cost]]+((CompareWarrYrs-Table5[[#This Row],[S]])*(Incremental_Warr_Yr*Table5[[#This Row],[Cost]]))*Exchange_Rate</f>
        <v>68.319999999999993</v>
      </c>
      <c r="Z58" s="6">
        <f>Table5[[#This Row],[$+Warr]]/Table5[[#This Row],[SizTB]]</f>
        <v>68.319999999999993</v>
      </c>
      <c r="AA58" s="6">
        <f>Table5[[#This Row],[$PerTB]]/CompareWarrYrs</f>
        <v>13.663999999999998</v>
      </c>
      <c r="AB58" s="44" t="s">
        <v>45</v>
      </c>
    </row>
    <row r="59" spans="1:28">
      <c r="A59" s="1">
        <v>43044</v>
      </c>
      <c r="B59" t="s">
        <v>10</v>
      </c>
      <c r="C59" s="117" t="s">
        <v>44</v>
      </c>
      <c r="D59" s="31" t="s">
        <v>133</v>
      </c>
      <c r="E59" s="100">
        <v>2.5</v>
      </c>
      <c r="F59" s="86">
        <v>2</v>
      </c>
      <c r="G59" s="46">
        <v>5400</v>
      </c>
      <c r="H59" s="5"/>
      <c r="I59" s="5"/>
      <c r="J59" s="65">
        <f>(Table5[[#This Row],[RPM]]/5400-1)</f>
        <v>0</v>
      </c>
      <c r="K59" s="49"/>
      <c r="L59">
        <v>5</v>
      </c>
      <c r="M59" s="40"/>
      <c r="O59" s="40"/>
      <c r="P59" s="39"/>
      <c r="Q59" s="57">
        <v>5</v>
      </c>
      <c r="R59" s="5">
        <v>1.8</v>
      </c>
      <c r="S59" s="5">
        <v>1.5</v>
      </c>
      <c r="T59" s="130"/>
      <c r="U59" s="134">
        <f>(((Table5[[#This Row],[Watts Active]]*Power_On_Hours_Year/1000)*Active_Duty_Cycle)+((Table5[[#This Row],[Watts Idle]]*Power_On_Hours_Year/1000)*(100%-Active_Duty_Cycle)))*CostPerKWH</f>
        <v>1.7093232</v>
      </c>
      <c r="V59" s="202">
        <f>Table5[Energy$year]/Table5[[#This Row],[SizTB]]</f>
        <v>0.85466160000000002</v>
      </c>
      <c r="W59" s="200">
        <v>112.56</v>
      </c>
      <c r="X59" s="6">
        <f>Table5[[#This Row],[Cost]]/Table5[[#This Row],[SizTB]]*Exchange_Rate</f>
        <v>56.28</v>
      </c>
      <c r="Y59" s="206">
        <f>Table5[[#This Row],[Cost]]+((CompareWarrYrs-Table5[[#This Row],[S]])*(Incremental_Warr_Yr*Table5[[#This Row],[Cost]]))*Exchange_Rate</f>
        <v>112.56</v>
      </c>
      <c r="Z59" s="6">
        <f>Table5[[#This Row],[$+Warr]]/Table5[[#This Row],[SizTB]]</f>
        <v>56.28</v>
      </c>
      <c r="AA59" s="6">
        <f>Table5[[#This Row],[$PerTB]]/CompareWarrYrs</f>
        <v>11.256</v>
      </c>
      <c r="AB59" s="44" t="s">
        <v>45</v>
      </c>
    </row>
    <row r="60" spans="1:28">
      <c r="A60" s="1">
        <v>43053</v>
      </c>
      <c r="B60" t="s">
        <v>10</v>
      </c>
      <c r="C60" s="117" t="s">
        <v>13</v>
      </c>
      <c r="D60" s="31" t="s">
        <v>50</v>
      </c>
      <c r="E60" s="100">
        <v>3.5</v>
      </c>
      <c r="F60" s="86">
        <v>1</v>
      </c>
      <c r="G60" s="46">
        <v>5900</v>
      </c>
      <c r="H60" s="5">
        <v>5.0999999999999996</v>
      </c>
      <c r="I60" s="5">
        <v>11.99</v>
      </c>
      <c r="J60" s="65">
        <f>(Table5[[#This Row],[RPM]]/5400-1)</f>
        <v>9.259259259259256E-2</v>
      </c>
      <c r="K60" s="49">
        <v>180</v>
      </c>
      <c r="L60">
        <v>3</v>
      </c>
      <c r="M60" s="40">
        <v>600000</v>
      </c>
      <c r="N60">
        <v>180</v>
      </c>
      <c r="O60" s="40">
        <v>1000000</v>
      </c>
      <c r="P60" s="39">
        <f t="shared" ref="P60:P63" si="5">10^14</f>
        <v>100000000000000</v>
      </c>
      <c r="Q60" s="57">
        <f>12*1.2</f>
        <v>14.399999999999999</v>
      </c>
      <c r="R60" s="5">
        <v>3.76</v>
      </c>
      <c r="S60" s="5">
        <v>2.5</v>
      </c>
      <c r="T60" s="130">
        <v>0.8</v>
      </c>
      <c r="U60" s="134">
        <f>(((Table5[[#This Row],[Watts Active]]*Power_On_Hours_Year/1000)*Active_Duty_Cycle)+((Table5[[#This Row],[Watts Idle]]*Power_On_Hours_Year/1000)*(100%-Active_Duty_Cycle)))*CostPerKWH</f>
        <v>3.0154214399999999</v>
      </c>
      <c r="V60" s="202">
        <f>Table5[Energy$year]/Table5[[#This Row],[SizTB]]</f>
        <v>3.0154214399999999</v>
      </c>
      <c r="W60" s="201">
        <v>62.71</v>
      </c>
      <c r="X60" s="6">
        <f>Table5[[#This Row],[Cost]]/Table5[[#This Row],[SizTB]]*Exchange_Rate</f>
        <v>62.71</v>
      </c>
      <c r="Y60" s="206">
        <f>Table5[[#This Row],[Cost]]+((CompareWarrYrs-Table5[[#This Row],[S]])*(Incremental_Warr_Yr*Table5[[#This Row],[Cost]]))*Exchange_Rate</f>
        <v>76.506200000000007</v>
      </c>
      <c r="Z60" s="6">
        <f>Table5[[#This Row],[$+Warr]]/Table5[[#This Row],[SizTB]]</f>
        <v>76.506200000000007</v>
      </c>
      <c r="AA60" s="6">
        <f>Table5[[#This Row],[$PerTB]]/CompareWarrYrs</f>
        <v>15.301240000000002</v>
      </c>
      <c r="AB60" s="44" t="s">
        <v>45</v>
      </c>
    </row>
    <row r="61" spans="1:28">
      <c r="A61" s="1">
        <v>43053</v>
      </c>
      <c r="B61" t="s">
        <v>10</v>
      </c>
      <c r="C61" s="117" t="s">
        <v>13</v>
      </c>
      <c r="D61" s="31" t="s">
        <v>50</v>
      </c>
      <c r="E61" s="100">
        <v>3.5</v>
      </c>
      <c r="F61" s="86">
        <v>2</v>
      </c>
      <c r="G61" s="46">
        <v>5900</v>
      </c>
      <c r="H61" s="5">
        <v>5.0999999999999996</v>
      </c>
      <c r="I61" s="5">
        <v>11.99</v>
      </c>
      <c r="J61" s="65">
        <f>(Table5[[#This Row],[RPM]]/5400-1)</f>
        <v>9.259259259259256E-2</v>
      </c>
      <c r="K61" s="49">
        <v>180</v>
      </c>
      <c r="L61">
        <v>3</v>
      </c>
      <c r="M61" s="40">
        <v>600000</v>
      </c>
      <c r="N61">
        <v>180</v>
      </c>
      <c r="O61" s="40">
        <v>1000000</v>
      </c>
      <c r="P61" s="39">
        <f t="shared" si="5"/>
        <v>100000000000000</v>
      </c>
      <c r="Q61" s="57">
        <f>12*2</f>
        <v>24</v>
      </c>
      <c r="R61" s="5">
        <v>4.3</v>
      </c>
      <c r="S61" s="5">
        <v>3.56</v>
      </c>
      <c r="T61" s="130">
        <v>0.8</v>
      </c>
      <c r="U61" s="134">
        <f>(((Table5[[#This Row],[Watts Active]]*Power_On_Hours_Year/1000)*Active_Duty_Cycle)+((Table5[[#This Row],[Watts Idle]]*Power_On_Hours_Year/1000)*(100%-Active_Duty_Cycle)))*CostPerKWH</f>
        <v>4.0629297600000003</v>
      </c>
      <c r="V61" s="202">
        <f>Table5[Energy$year]/Table5[[#This Row],[SizTB]]</f>
        <v>2.0314648800000001</v>
      </c>
      <c r="W61" s="201">
        <v>84.99</v>
      </c>
      <c r="X61" s="6">
        <f>Table5[[#This Row],[Cost]]/Table5[[#This Row],[SizTB]]*Exchange_Rate</f>
        <v>42.494999999999997</v>
      </c>
      <c r="Y61" s="206">
        <f>Table5[[#This Row],[Cost]]+((CompareWarrYrs-Table5[[#This Row],[S]])*(Incremental_Warr_Yr*Table5[[#This Row],[Cost]]))*Exchange_Rate</f>
        <v>103.6878</v>
      </c>
      <c r="Z61" s="6">
        <f>Table5[[#This Row],[$+Warr]]/Table5[[#This Row],[SizTB]]</f>
        <v>51.843899999999998</v>
      </c>
      <c r="AA61" s="6">
        <f>Table5[[#This Row],[$PerTB]]/CompareWarrYrs</f>
        <v>10.368779999999999</v>
      </c>
      <c r="AB61" s="44"/>
    </row>
    <row r="62" spans="1:28">
      <c r="A62" s="1">
        <v>43053</v>
      </c>
      <c r="B62" t="s">
        <v>10</v>
      </c>
      <c r="C62" s="117" t="s">
        <v>13</v>
      </c>
      <c r="D62" s="31" t="s">
        <v>50</v>
      </c>
      <c r="E62" s="100">
        <v>3.5</v>
      </c>
      <c r="F62" s="86">
        <v>3</v>
      </c>
      <c r="G62" s="46">
        <v>5900</v>
      </c>
      <c r="H62" s="5">
        <v>5.0999999999999996</v>
      </c>
      <c r="I62" s="5">
        <v>11.99</v>
      </c>
      <c r="J62" s="65">
        <f>(Table5[[#This Row],[RPM]]/5400-1)</f>
        <v>9.259259259259256E-2</v>
      </c>
      <c r="K62" s="49">
        <v>180</v>
      </c>
      <c r="L62">
        <v>3</v>
      </c>
      <c r="M62" s="40">
        <v>600000</v>
      </c>
      <c r="N62">
        <v>180</v>
      </c>
      <c r="O62" s="40">
        <v>1000000</v>
      </c>
      <c r="P62" s="39">
        <f t="shared" si="5"/>
        <v>100000000000000</v>
      </c>
      <c r="Q62" s="57">
        <f>12*2</f>
        <v>24</v>
      </c>
      <c r="R62" s="5">
        <v>4.8</v>
      </c>
      <c r="S62" s="5">
        <v>4.8</v>
      </c>
      <c r="T62" s="130">
        <v>0.6</v>
      </c>
      <c r="U62" s="134">
        <f>(((Table5[[#This Row],[Watts Active]]*Power_On_Hours_Year/1000)*Active_Duty_Cycle)+((Table5[[#This Row],[Watts Idle]]*Power_On_Hours_Year/1000)*(100%-Active_Duty_Cycle)))*CostPerKWH</f>
        <v>5.2594560000000001</v>
      </c>
      <c r="V62" s="202">
        <f>Table5[Energy$year]/Table5[[#This Row],[SizTB]]</f>
        <v>1.753152</v>
      </c>
      <c r="W62" s="201">
        <v>104.99</v>
      </c>
      <c r="X62" s="6">
        <f>Table5[[#This Row],[Cost]]/Table5[[#This Row],[SizTB]]*Exchange_Rate</f>
        <v>34.996666666666663</v>
      </c>
      <c r="Y62" s="206">
        <f>Table5[[#This Row],[Cost]]+((CompareWarrYrs-Table5[[#This Row],[S]])*(Incremental_Warr_Yr*Table5[[#This Row],[Cost]]))*Exchange_Rate</f>
        <v>128.08779999999999</v>
      </c>
      <c r="Z62" s="6">
        <f>Table5[[#This Row],[$+Warr]]/Table5[[#This Row],[SizTB]]</f>
        <v>42.695933333333329</v>
      </c>
      <c r="AA62" s="6">
        <f>Table5[[#This Row],[$PerTB]]/CompareWarrYrs</f>
        <v>8.5391866666666658</v>
      </c>
      <c r="AB62" s="44"/>
    </row>
    <row r="63" spans="1:28">
      <c r="A63" s="1">
        <v>43064</v>
      </c>
      <c r="B63" t="s">
        <v>10</v>
      </c>
      <c r="C63" s="117" t="s">
        <v>13</v>
      </c>
      <c r="D63" s="31" t="s">
        <v>50</v>
      </c>
      <c r="E63" s="100">
        <v>3.5</v>
      </c>
      <c r="F63" s="86">
        <v>4</v>
      </c>
      <c r="G63" s="46">
        <v>5900</v>
      </c>
      <c r="H63" s="5">
        <v>5.0999999999999996</v>
      </c>
      <c r="I63" s="5">
        <v>9.5</v>
      </c>
      <c r="J63" s="65">
        <f>(Table5[[#This Row],[RPM]]/5400-1)</f>
        <v>9.259259259259256E-2</v>
      </c>
      <c r="K63" s="49">
        <v>180</v>
      </c>
      <c r="L63">
        <v>3</v>
      </c>
      <c r="M63" s="40">
        <v>600000</v>
      </c>
      <c r="N63">
        <v>180</v>
      </c>
      <c r="O63" s="40">
        <v>1000000</v>
      </c>
      <c r="P63" s="39">
        <f t="shared" si="5"/>
        <v>100000000000000</v>
      </c>
      <c r="Q63" s="57">
        <f t="shared" ref="Q63:Q65" si="6">12*1.8</f>
        <v>21.6</v>
      </c>
      <c r="R63" s="5">
        <v>4.8</v>
      </c>
      <c r="S63" s="5">
        <v>3.95</v>
      </c>
      <c r="T63" s="130">
        <v>0.5</v>
      </c>
      <c r="U63" s="134">
        <f>(((Table5[[#This Row],[Watts Active]]*Power_On_Hours_Year/1000)*Active_Duty_Cycle)+((Table5[[#This Row],[Watts Idle]]*Power_On_Hours_Year/1000)*(100%-Active_Duty_Cycle)))*CostPerKWH</f>
        <v>4.5143664000000001</v>
      </c>
      <c r="V63" s="202">
        <f>Table5[Energy$year]/Table5[[#This Row],[SizTB]]</f>
        <v>1.1285916</v>
      </c>
      <c r="W63" s="201">
        <v>129.99</v>
      </c>
      <c r="X63" s="6">
        <f>Table5[[#This Row],[Cost]]/Table5[[#This Row],[SizTB]]*Exchange_Rate</f>
        <v>32.497500000000002</v>
      </c>
      <c r="Y63" s="206">
        <f>Table5[[#This Row],[Cost]]+((CompareWarrYrs-Table5[[#This Row],[S]])*(Incremental_Warr_Yr*Table5[[#This Row],[Cost]]))*Exchange_Rate</f>
        <v>158.58780000000002</v>
      </c>
      <c r="Z63" s="6">
        <f>Table5[[#This Row],[$+Warr]]/Table5[[#This Row],[SizTB]]</f>
        <v>39.646950000000004</v>
      </c>
      <c r="AA63" s="6">
        <f>Table5[[#This Row],[$PerTB]]/CompareWarrYrs</f>
        <v>7.9293900000000006</v>
      </c>
      <c r="AB63" s="44"/>
    </row>
    <row r="64" spans="1:28">
      <c r="A64" s="1">
        <v>43064</v>
      </c>
      <c r="B64" t="s">
        <v>10</v>
      </c>
      <c r="C64" s="117" t="s">
        <v>13</v>
      </c>
      <c r="D64" s="31" t="s">
        <v>50</v>
      </c>
      <c r="E64" s="100">
        <v>3.5</v>
      </c>
      <c r="F64" s="86">
        <v>6</v>
      </c>
      <c r="G64" s="46">
        <v>7200</v>
      </c>
      <c r="H64" s="5">
        <v>4</v>
      </c>
      <c r="I64" s="5">
        <v>9.5</v>
      </c>
      <c r="J64" s="65">
        <f>(Table5[[#This Row],[RPM]]/5400-1)</f>
        <v>0.33333333333333326</v>
      </c>
      <c r="K64" s="49">
        <v>210</v>
      </c>
      <c r="L64">
        <v>3</v>
      </c>
      <c r="M64" s="40">
        <v>600000</v>
      </c>
      <c r="N64">
        <v>180</v>
      </c>
      <c r="O64" s="40">
        <v>1000000</v>
      </c>
      <c r="P64" s="39">
        <v>1000000000000000</v>
      </c>
      <c r="Q64" s="57">
        <f t="shared" si="6"/>
        <v>21.6</v>
      </c>
      <c r="R64" s="5">
        <v>8.1</v>
      </c>
      <c r="S64" s="5">
        <v>7.2</v>
      </c>
      <c r="T64" s="130">
        <v>0.6</v>
      </c>
      <c r="U64" s="134">
        <f>(((Table5[[#This Row],[Watts Active]]*Power_On_Hours_Year/1000)*Active_Duty_Cycle)+((Table5[[#This Row],[Watts Idle]]*Power_On_Hours_Year/1000)*(100%-Active_Duty_Cycle)))*CostPerKWH</f>
        <v>8.0864136000000002</v>
      </c>
      <c r="V64" s="202">
        <f>Table5[Energy$year]/Table5[[#This Row],[SizTB]]</f>
        <v>1.3477356</v>
      </c>
      <c r="W64" s="201">
        <v>199.99</v>
      </c>
      <c r="X64" s="6">
        <f>Table5[[#This Row],[Cost]]/Table5[[#This Row],[SizTB]]*Exchange_Rate</f>
        <v>33.331666666666671</v>
      </c>
      <c r="Y64" s="206">
        <f>Table5[[#This Row],[Cost]]+((CompareWarrYrs-Table5[[#This Row],[S]])*(Incremental_Warr_Yr*Table5[[#This Row],[Cost]]))*Exchange_Rate</f>
        <v>243.98780000000002</v>
      </c>
      <c r="Z64" s="6">
        <f>Table5[[#This Row],[$+Warr]]/Table5[[#This Row],[SizTB]]</f>
        <v>40.664633333333335</v>
      </c>
      <c r="AA64" s="6">
        <f>Table5[[#This Row],[$PerTB]]/CompareWarrYrs</f>
        <v>8.1329266666666662</v>
      </c>
      <c r="AB64" s="44"/>
    </row>
    <row r="65" spans="1:28">
      <c r="A65" s="1">
        <v>43064</v>
      </c>
      <c r="B65" t="s">
        <v>10</v>
      </c>
      <c r="C65" s="117" t="s">
        <v>13</v>
      </c>
      <c r="D65" s="31" t="s">
        <v>50</v>
      </c>
      <c r="E65" s="100">
        <v>3.5</v>
      </c>
      <c r="F65" s="86">
        <v>8</v>
      </c>
      <c r="G65" s="46">
        <v>7200</v>
      </c>
      <c r="H65" s="5">
        <v>4</v>
      </c>
      <c r="I65" s="5">
        <v>9.5</v>
      </c>
      <c r="J65" s="65">
        <f>(Table5[[#This Row],[RPM]]/5400-1)</f>
        <v>0.33333333333333326</v>
      </c>
      <c r="K65" s="49">
        <v>210</v>
      </c>
      <c r="L65">
        <v>3</v>
      </c>
      <c r="M65" s="40">
        <v>600000</v>
      </c>
      <c r="N65">
        <v>180</v>
      </c>
      <c r="O65" s="40">
        <v>1000000</v>
      </c>
      <c r="P65" s="39">
        <v>1000000000000000</v>
      </c>
      <c r="Q65" s="57">
        <f t="shared" si="6"/>
        <v>21.6</v>
      </c>
      <c r="R65" s="5">
        <v>8.8000000000000007</v>
      </c>
      <c r="S65" s="5">
        <v>7.6</v>
      </c>
      <c r="T65" s="130">
        <v>0.6</v>
      </c>
      <c r="U65" s="134">
        <f>(((Table5[[#This Row],[Watts Active]]*Power_On_Hours_Year/1000)*Active_Duty_Cycle)+((Table5[[#This Row],[Watts Idle]]*Power_On_Hours_Year/1000)*(100%-Active_Duty_Cycle)))*CostPerKWH</f>
        <v>8.5904448000000002</v>
      </c>
      <c r="V65" s="202">
        <f>Table5[Energy$year]/Table5[[#This Row],[SizTB]]</f>
        <v>1.0738056</v>
      </c>
      <c r="W65" s="201">
        <v>231.88</v>
      </c>
      <c r="X65" s="6">
        <f>Table5[[#This Row],[Cost]]/Table5[[#This Row],[SizTB]]*Exchange_Rate</f>
        <v>28.984999999999999</v>
      </c>
      <c r="Y65" s="206">
        <f>Table5[[#This Row],[Cost]]+((CompareWarrYrs-Table5[[#This Row],[S]])*(Incremental_Warr_Yr*Table5[[#This Row],[Cost]]))*Exchange_Rate</f>
        <v>282.89359999999999</v>
      </c>
      <c r="Z65" s="6">
        <f>Table5[[#This Row],[$+Warr]]/Table5[[#This Row],[SizTB]]</f>
        <v>35.361699999999999</v>
      </c>
      <c r="AA65" s="6">
        <f>Table5[[#This Row],[$PerTB]]/CompareWarrYrs</f>
        <v>7.0723399999999996</v>
      </c>
      <c r="AB65" s="44"/>
    </row>
    <row r="66" spans="1:28">
      <c r="A66" s="1">
        <v>43064</v>
      </c>
      <c r="B66" t="s">
        <v>10</v>
      </c>
      <c r="C66" s="117" t="s">
        <v>13</v>
      </c>
      <c r="D66" s="31" t="s">
        <v>50</v>
      </c>
      <c r="E66" s="100">
        <v>3.5</v>
      </c>
      <c r="F66" s="86">
        <v>10</v>
      </c>
      <c r="G66" s="46">
        <v>7200</v>
      </c>
      <c r="H66" s="5"/>
      <c r="I66" s="5"/>
      <c r="J66" s="65">
        <f>(Table5[[#This Row],[RPM]]/5400-1)</f>
        <v>0.33333333333333326</v>
      </c>
      <c r="K66" s="49">
        <v>210</v>
      </c>
      <c r="L66">
        <v>3</v>
      </c>
      <c r="M66" s="40">
        <v>600000</v>
      </c>
      <c r="N66">
        <v>180</v>
      </c>
      <c r="O66" s="40">
        <v>1000000</v>
      </c>
      <c r="P66" s="39">
        <v>1000000000000000</v>
      </c>
      <c r="Q66" s="57">
        <f>12*1.8</f>
        <v>21.6</v>
      </c>
      <c r="R66" s="5">
        <v>7.8</v>
      </c>
      <c r="S66" s="5">
        <v>5</v>
      </c>
      <c r="T66" s="130">
        <v>0.8</v>
      </c>
      <c r="U66" s="134">
        <f>(((Table5[[#This Row],[Watts Active]]*Power_On_Hours_Year/1000)*Active_Duty_Cycle)+((Table5[[#This Row],[Watts Idle]]*Power_On_Hours_Year/1000)*(100%-Active_Duty_Cycle)))*CostPerKWH</f>
        <v>6.0922032000000002</v>
      </c>
      <c r="V66" s="202">
        <f>Table5[Energy$year]/Table5[[#This Row],[SizTB]]</f>
        <v>0.60922032000000004</v>
      </c>
      <c r="W66" s="201">
        <v>299.99</v>
      </c>
      <c r="X66" s="6">
        <f>Table5[[#This Row],[Cost]]/Table5[[#This Row],[SizTB]]*Exchange_Rate</f>
        <v>29.999000000000002</v>
      </c>
      <c r="Y66" s="206">
        <f>Table5[[#This Row],[Cost]]+((CompareWarrYrs-Table5[[#This Row],[S]])*(Incremental_Warr_Yr*Table5[[#This Row],[Cost]]))*Exchange_Rate</f>
        <v>365.98779999999999</v>
      </c>
      <c r="Z66" s="6">
        <f>Table5[[#This Row],[$+Warr]]/Table5[[#This Row],[SizTB]]</f>
        <v>36.598779999999998</v>
      </c>
      <c r="AA66" s="6">
        <f>Table5[[#This Row],[$PerTB]]/CompareWarrYrs</f>
        <v>7.3197559999999999</v>
      </c>
      <c r="AB66" s="44"/>
    </row>
    <row r="67" spans="1:28">
      <c r="A67" s="1">
        <v>43064</v>
      </c>
      <c r="B67" t="s">
        <v>10</v>
      </c>
      <c r="C67" s="117" t="s">
        <v>13</v>
      </c>
      <c r="D67" s="129" t="s">
        <v>50</v>
      </c>
      <c r="E67" s="100">
        <v>3.5</v>
      </c>
      <c r="F67" s="86">
        <v>12</v>
      </c>
      <c r="G67" s="46">
        <v>7200</v>
      </c>
      <c r="H67" s="5">
        <v>4.16</v>
      </c>
      <c r="I67" s="5"/>
      <c r="J67" s="65">
        <f>(Table5[[#This Row],[RPM]]/5400-1)</f>
        <v>0.33333333333333326</v>
      </c>
      <c r="K67" s="49">
        <v>210</v>
      </c>
      <c r="L67">
        <v>3</v>
      </c>
      <c r="M67" s="40">
        <v>600000</v>
      </c>
      <c r="N67">
        <v>180</v>
      </c>
      <c r="O67" s="40">
        <v>1000000</v>
      </c>
      <c r="P67" s="39">
        <v>1000000000000000</v>
      </c>
      <c r="Q67" s="57">
        <f>1.8*12</f>
        <v>21.6</v>
      </c>
      <c r="R67" s="5">
        <v>7.8</v>
      </c>
      <c r="S67" s="5">
        <v>5</v>
      </c>
      <c r="T67" s="130">
        <v>0.8</v>
      </c>
      <c r="U67" s="134">
        <f>(((Table5[[#This Row],[Watts Active]]*Power_On_Hours_Year/1000)*Active_Duty_Cycle)+((Table5[[#This Row],[Watts Idle]]*Power_On_Hours_Year/1000)*(100%-Active_Duty_Cycle)))*CostPerKWH</f>
        <v>6.0922032000000002</v>
      </c>
      <c r="V67" s="202">
        <f>Table5[Energy$year]/Table5[[#This Row],[SizTB]]</f>
        <v>0.50768360000000001</v>
      </c>
      <c r="W67" s="201">
        <v>396.99</v>
      </c>
      <c r="X67" s="6">
        <f>Table5[[#This Row],[Cost]]/Table5[[#This Row],[SizTB]]*Exchange_Rate</f>
        <v>33.082500000000003</v>
      </c>
      <c r="Y67" s="206">
        <f>Table5[[#This Row],[Cost]]+((CompareWarrYrs-Table5[[#This Row],[S]])*(Incremental_Warr_Yr*Table5[[#This Row],[Cost]]))*Exchange_Rate</f>
        <v>484.32780000000002</v>
      </c>
      <c r="Z67" s="6">
        <f>Table5[[#This Row],[$+Warr]]/Table5[[#This Row],[SizTB]]</f>
        <v>40.36065</v>
      </c>
      <c r="AA67" s="6">
        <f>Table5[[#This Row],[$PerTB]]/CompareWarrYrs</f>
        <v>8.0721299999999996</v>
      </c>
      <c r="AB67" s="44"/>
    </row>
    <row r="68" spans="1:28">
      <c r="A68" s="1">
        <v>43053</v>
      </c>
      <c r="B68" t="s">
        <v>10</v>
      </c>
      <c r="C68" s="117" t="s">
        <v>17</v>
      </c>
      <c r="D68" s="31" t="s">
        <v>50</v>
      </c>
      <c r="E68" s="100">
        <v>3.5</v>
      </c>
      <c r="F68" s="86">
        <v>2</v>
      </c>
      <c r="G68" s="46">
        <v>7200</v>
      </c>
      <c r="H68" s="5">
        <v>4.16</v>
      </c>
      <c r="I68" s="5"/>
      <c r="J68" s="65">
        <f>(Table5[[#This Row],[RPM]]/5400-1)</f>
        <v>0.33333333333333326</v>
      </c>
      <c r="K68" s="49">
        <v>195</v>
      </c>
      <c r="L68">
        <v>5</v>
      </c>
      <c r="M68" s="40"/>
      <c r="N68">
        <v>300</v>
      </c>
      <c r="O68" s="40">
        <v>1200000</v>
      </c>
      <c r="P68" s="39">
        <v>1000000000000000</v>
      </c>
      <c r="Q68" s="57">
        <f>12*2</f>
        <v>24</v>
      </c>
      <c r="R68" s="5">
        <v>6.5</v>
      </c>
      <c r="S68" s="5">
        <v>4.6100000000000003</v>
      </c>
      <c r="T68" s="130">
        <v>0.8</v>
      </c>
      <c r="U68" s="134">
        <f>(((Table5[[#This Row],[Watts Active]]*Power_On_Hours_Year/1000)*Active_Duty_Cycle)+((Table5[[#This Row],[Watts Idle]]*Power_On_Hours_Year/1000)*(100%-Active_Duty_Cycle)))*CostPerKWH</f>
        <v>5.4654513600000012</v>
      </c>
      <c r="V68" s="202">
        <f>Table5[Energy$year]/Table5[[#This Row],[SizTB]]</f>
        <v>2.7327256800000006</v>
      </c>
      <c r="W68" s="201">
        <v>124.99</v>
      </c>
      <c r="X68" s="6">
        <f>Table5[[#This Row],[Cost]]/Table5[[#This Row],[SizTB]]*Exchange_Rate</f>
        <v>62.494999999999997</v>
      </c>
      <c r="Y68" s="206">
        <f>Table5[[#This Row],[Cost]]+((CompareWarrYrs-Table5[[#This Row],[S]])*(Incremental_Warr_Yr*Table5[[#This Row],[Cost]]))*Exchange_Rate</f>
        <v>124.99</v>
      </c>
      <c r="Z68" s="6">
        <f>Table5[[#This Row],[$+Warr]]/Table5[[#This Row],[SizTB]]</f>
        <v>62.494999999999997</v>
      </c>
      <c r="AA68" s="6">
        <f>Table5[[#This Row],[$PerTB]]/CompareWarrYrs</f>
        <v>12.498999999999999</v>
      </c>
      <c r="AB68" s="44"/>
    </row>
    <row r="69" spans="1:28">
      <c r="A69" s="1">
        <v>43053</v>
      </c>
      <c r="B69" t="s">
        <v>10</v>
      </c>
      <c r="C69" s="117" t="s">
        <v>17</v>
      </c>
      <c r="D69" s="31" t="s">
        <v>50</v>
      </c>
      <c r="E69" s="100">
        <v>3.5</v>
      </c>
      <c r="F69" s="86">
        <v>4</v>
      </c>
      <c r="G69" s="46">
        <v>7200</v>
      </c>
      <c r="H69" s="5">
        <v>4.16</v>
      </c>
      <c r="I69" s="5"/>
      <c r="J69" s="65">
        <f>(Table5[[#This Row],[RPM]]/5400-1)</f>
        <v>0.33333333333333326</v>
      </c>
      <c r="K69" s="49">
        <v>214</v>
      </c>
      <c r="L69">
        <v>5</v>
      </c>
      <c r="M69" s="40"/>
      <c r="N69">
        <v>300</v>
      </c>
      <c r="O69" s="40">
        <v>1200000</v>
      </c>
      <c r="P69" s="39">
        <v>1000000000000000</v>
      </c>
      <c r="Q69" s="57">
        <f>12*2</f>
        <v>24</v>
      </c>
      <c r="R69" s="5">
        <v>8.5</v>
      </c>
      <c r="S69" s="5">
        <v>5.45</v>
      </c>
      <c r="T69" s="130">
        <v>0.6</v>
      </c>
      <c r="U69" s="134">
        <f>(((Table5[[#This Row],[Watts Active]]*Power_On_Hours_Year/1000)*Active_Duty_Cycle)+((Table5[[#This Row],[Watts Idle]]*Power_On_Hours_Year/1000)*(100%-Active_Duty_Cycle)))*CostPerKWH</f>
        <v>6.6400632000000002</v>
      </c>
      <c r="V69" s="202">
        <f>Table5[Energy$year]/Table5[[#This Row],[SizTB]]</f>
        <v>1.6600158</v>
      </c>
      <c r="W69" s="201">
        <v>189.99</v>
      </c>
      <c r="X69" s="6">
        <f>Table5[[#This Row],[Cost]]/Table5[[#This Row],[SizTB]]*Exchange_Rate</f>
        <v>47.497500000000002</v>
      </c>
      <c r="Y69" s="206">
        <f>Table5[[#This Row],[Cost]]+((CompareWarrYrs-Table5[[#This Row],[S]])*(Incremental_Warr_Yr*Table5[[#This Row],[Cost]]))*Exchange_Rate</f>
        <v>189.99</v>
      </c>
      <c r="Z69" s="6">
        <f>Table5[[#This Row],[$+Warr]]/Table5[[#This Row],[SizTB]]</f>
        <v>47.497500000000002</v>
      </c>
      <c r="AA69" s="6">
        <f>Table5[[#This Row],[$PerTB]]/CompareWarrYrs</f>
        <v>9.4995000000000012</v>
      </c>
      <c r="AB69" s="44"/>
    </row>
    <row r="70" spans="1:28">
      <c r="A70" s="1">
        <v>43053</v>
      </c>
      <c r="B70" t="s">
        <v>10</v>
      </c>
      <c r="C70" s="117" t="s">
        <v>17</v>
      </c>
      <c r="D70" s="31" t="s">
        <v>50</v>
      </c>
      <c r="E70" s="100">
        <v>3.5</v>
      </c>
      <c r="F70" s="86">
        <v>6</v>
      </c>
      <c r="G70" s="46">
        <v>7200</v>
      </c>
      <c r="H70" s="5">
        <v>4.16</v>
      </c>
      <c r="I70" s="5"/>
      <c r="J70" s="65">
        <f>(Table5[[#This Row],[RPM]]/5400-1)</f>
        <v>0.33333333333333326</v>
      </c>
      <c r="K70" s="49">
        <v>214</v>
      </c>
      <c r="L70">
        <v>5</v>
      </c>
      <c r="M70" s="40"/>
      <c r="N70">
        <v>300</v>
      </c>
      <c r="O70" s="40">
        <v>1200000</v>
      </c>
      <c r="P70" s="39">
        <v>1000000000000000</v>
      </c>
      <c r="Q70" s="57">
        <f>12*2</f>
        <v>24</v>
      </c>
      <c r="R70" s="5">
        <v>8.1</v>
      </c>
      <c r="S70" s="5">
        <v>7.5</v>
      </c>
      <c r="T70" s="130">
        <v>0.6</v>
      </c>
      <c r="U70" s="134">
        <f>(((Table5[[#This Row],[Watts Active]]*Power_On_Hours_Year/1000)*Active_Duty_Cycle)+((Table5[[#This Row],[Watts Idle]]*Power_On_Hours_Year/1000)*(100%-Active_Duty_Cycle)))*CostPerKWH</f>
        <v>8.3493864000000002</v>
      </c>
      <c r="V70" s="202">
        <f>Table5[Energy$year]/Table5[[#This Row],[SizTB]]</f>
        <v>1.3915644</v>
      </c>
      <c r="W70" s="201">
        <v>259.99</v>
      </c>
      <c r="X70" s="6">
        <f>Table5[[#This Row],[Cost]]/Table5[[#This Row],[SizTB]]*Exchange_Rate</f>
        <v>43.331666666666671</v>
      </c>
      <c r="Y70" s="206">
        <f>Table5[[#This Row],[Cost]]+((CompareWarrYrs-Table5[[#This Row],[S]])*(Incremental_Warr_Yr*Table5[[#This Row],[Cost]]))*Exchange_Rate</f>
        <v>259.99</v>
      </c>
      <c r="Z70" s="6">
        <f>Table5[[#This Row],[$+Warr]]/Table5[[#This Row],[SizTB]]</f>
        <v>43.331666666666671</v>
      </c>
      <c r="AA70" s="6">
        <f>Table5[[#This Row],[$PerTB]]/CompareWarrYrs</f>
        <v>8.6663333333333341</v>
      </c>
      <c r="AB70" s="44"/>
    </row>
    <row r="71" spans="1:28">
      <c r="A71" s="1">
        <v>43053</v>
      </c>
      <c r="B71" t="s">
        <v>10</v>
      </c>
      <c r="C71" s="117" t="s">
        <v>17</v>
      </c>
      <c r="D71" s="31" t="s">
        <v>50</v>
      </c>
      <c r="E71" s="100">
        <v>3.5</v>
      </c>
      <c r="F71" s="86">
        <v>8</v>
      </c>
      <c r="G71" s="46">
        <v>7200</v>
      </c>
      <c r="H71" s="5">
        <v>4.16</v>
      </c>
      <c r="I71" s="5"/>
      <c r="J71" s="65">
        <f>(Table5[[#This Row],[RPM]]/5400-1)</f>
        <v>0.33333333333333326</v>
      </c>
      <c r="K71" s="49">
        <v>214</v>
      </c>
      <c r="L71">
        <v>5</v>
      </c>
      <c r="M71" s="40"/>
      <c r="N71">
        <v>300</v>
      </c>
      <c r="O71" s="40">
        <v>1200000</v>
      </c>
      <c r="P71" s="39">
        <v>1000000000000000</v>
      </c>
      <c r="Q71" s="57">
        <f>12*2</f>
        <v>24</v>
      </c>
      <c r="R71" s="5">
        <v>7.4</v>
      </c>
      <c r="S71" s="5">
        <v>4.4000000000000004</v>
      </c>
      <c r="T71" s="130">
        <v>0.8</v>
      </c>
      <c r="U71" s="134">
        <f>(((Table5[[#This Row],[Watts Active]]*Power_On_Hours_Year/1000)*Active_Duty_Cycle)+((Table5[[#This Row],[Watts Idle]]*Power_On_Hours_Year/1000)*(100%-Active_Duty_Cycle)))*CostPerKWH</f>
        <v>5.478600000000001</v>
      </c>
      <c r="V71" s="202">
        <f>Table5[Energy$year]/Table5[[#This Row],[SizTB]]</f>
        <v>0.68482500000000013</v>
      </c>
      <c r="W71" s="201">
        <v>319.99</v>
      </c>
      <c r="X71" s="6">
        <f>Table5[[#This Row],[Cost]]/Table5[[#This Row],[SizTB]]*Exchange_Rate</f>
        <v>39.998750000000001</v>
      </c>
      <c r="Y71" s="206">
        <f>Table5[[#This Row],[Cost]]+((CompareWarrYrs-Table5[[#This Row],[S]])*(Incremental_Warr_Yr*Table5[[#This Row],[Cost]]))*Exchange_Rate</f>
        <v>319.99</v>
      </c>
      <c r="Z71" s="6">
        <f>Table5[[#This Row],[$+Warr]]/Table5[[#This Row],[SizTB]]</f>
        <v>39.998750000000001</v>
      </c>
      <c r="AA71" s="6">
        <f>Table5[[#This Row],[$PerTB]]/CompareWarrYrs</f>
        <v>7.9997500000000006</v>
      </c>
      <c r="AB71" s="44"/>
    </row>
    <row r="72" spans="1:28">
      <c r="A72" s="1">
        <v>43053</v>
      </c>
      <c r="B72" t="s">
        <v>10</v>
      </c>
      <c r="C72" s="117" t="s">
        <v>17</v>
      </c>
      <c r="D72" s="31" t="s">
        <v>50</v>
      </c>
      <c r="E72" s="100">
        <v>3.5</v>
      </c>
      <c r="F72" s="86">
        <v>10</v>
      </c>
      <c r="G72" s="46">
        <v>7200</v>
      </c>
      <c r="H72" s="5">
        <v>4.16</v>
      </c>
      <c r="I72" s="5"/>
      <c r="J72" s="65">
        <f>(Table5[[#This Row],[RPM]]/5400-1)</f>
        <v>0.33333333333333326</v>
      </c>
      <c r="K72" s="49">
        <v>214</v>
      </c>
      <c r="L72">
        <v>5</v>
      </c>
      <c r="M72" s="40"/>
      <c r="N72">
        <v>300</v>
      </c>
      <c r="O72" s="40">
        <v>1200000</v>
      </c>
      <c r="P72" s="39">
        <v>1000000000000000</v>
      </c>
      <c r="Q72" s="57">
        <v>24</v>
      </c>
      <c r="R72" s="5">
        <v>7.4</v>
      </c>
      <c r="S72" s="5">
        <v>5</v>
      </c>
      <c r="T72" s="130">
        <v>0.8</v>
      </c>
      <c r="U72" s="134">
        <f>(((Table5[[#This Row],[Watts Active]]*Power_On_Hours_Year/1000)*Active_Duty_Cycle)+((Table5[[#This Row],[Watts Idle]]*Power_On_Hours_Year/1000)*(100%-Active_Duty_Cycle)))*CostPerKWH</f>
        <v>6.0045456000000001</v>
      </c>
      <c r="V72" s="202">
        <f>Table5[Energy$year]/Table5[[#This Row],[SizTB]]</f>
        <v>0.60045455999999997</v>
      </c>
      <c r="W72" s="201">
        <v>409.99</v>
      </c>
      <c r="X72" s="6">
        <f>Table5[[#This Row],[Cost]]/Table5[[#This Row],[SizTB]]*Exchange_Rate</f>
        <v>40.999000000000002</v>
      </c>
      <c r="Y72" s="206">
        <f>Table5[[#This Row],[Cost]]+((CompareWarrYrs-Table5[[#This Row],[S]])*(Incremental_Warr_Yr*Table5[[#This Row],[Cost]]))*Exchange_Rate</f>
        <v>409.99</v>
      </c>
      <c r="Z72" s="6">
        <f>Table5[[#This Row],[$+Warr]]/Table5[[#This Row],[SizTB]]</f>
        <v>40.999000000000002</v>
      </c>
      <c r="AA72" s="6">
        <f>Table5[[#This Row],[$PerTB]]/CompareWarrYrs</f>
        <v>8.1997999999999998</v>
      </c>
      <c r="AB72" s="44"/>
    </row>
    <row r="73" spans="1:28">
      <c r="A73" s="1">
        <v>43053</v>
      </c>
      <c r="B73" t="s">
        <v>10</v>
      </c>
      <c r="C73" s="117" t="s">
        <v>17</v>
      </c>
      <c r="D73" s="129" t="s">
        <v>50</v>
      </c>
      <c r="E73" s="100">
        <v>3.5</v>
      </c>
      <c r="F73" s="86">
        <v>12</v>
      </c>
      <c r="G73" s="46">
        <v>7200</v>
      </c>
      <c r="H73" s="5">
        <v>4.16</v>
      </c>
      <c r="I73" s="5"/>
      <c r="J73" s="65">
        <f>(Table5[[#This Row],[RPM]]/5400-1)</f>
        <v>0.33333333333333326</v>
      </c>
      <c r="K73" s="49"/>
      <c r="L73">
        <v>5</v>
      </c>
      <c r="M73" s="40"/>
      <c r="N73">
        <v>300</v>
      </c>
      <c r="O73" s="40">
        <v>1200000</v>
      </c>
      <c r="P73" s="39">
        <v>1000000000000000</v>
      </c>
      <c r="Q73" s="57">
        <v>24</v>
      </c>
      <c r="R73" s="5">
        <v>7.8</v>
      </c>
      <c r="S73" s="5">
        <v>5</v>
      </c>
      <c r="T73" s="130">
        <v>0.8</v>
      </c>
      <c r="U73" s="134">
        <f>(((Table5[[#This Row],[Watts Active]]*Power_On_Hours_Year/1000)*Active_Duty_Cycle)+((Table5[[#This Row],[Watts Idle]]*Power_On_Hours_Year/1000)*(100%-Active_Duty_Cycle)))*CostPerKWH</f>
        <v>6.0922032000000002</v>
      </c>
      <c r="V73" s="202">
        <f>Table5[Energy$year]/Table5[[#This Row],[SizTB]]</f>
        <v>0.50768360000000001</v>
      </c>
      <c r="W73" s="201">
        <v>509.99</v>
      </c>
      <c r="X73" s="6">
        <f>Table5[[#This Row],[Cost]]/Table5[[#This Row],[SizTB]]*Exchange_Rate</f>
        <v>42.499166666666667</v>
      </c>
      <c r="Y73" s="206">
        <f>Table5[[#This Row],[Cost]]+((CompareWarrYrs-Table5[[#This Row],[S]])*(Incremental_Warr_Yr*Table5[[#This Row],[Cost]]))*Exchange_Rate</f>
        <v>509.99</v>
      </c>
      <c r="Z73" s="6">
        <f>Table5[[#This Row],[$+Warr]]/Table5[[#This Row],[SizTB]]</f>
        <v>42.499166666666667</v>
      </c>
      <c r="AA73" s="6">
        <f>Table5[[#This Row],[$PerTB]]/CompareWarrYrs</f>
        <v>8.4998333333333331</v>
      </c>
      <c r="AB73" s="44"/>
    </row>
    <row r="74" spans="1:28" ht="15.75" thickBot="1">
      <c r="A74" s="69">
        <v>43046</v>
      </c>
      <c r="B74" s="70" t="s">
        <v>10</v>
      </c>
      <c r="C74" s="116" t="s">
        <v>14</v>
      </c>
      <c r="D74" s="71" t="s">
        <v>50</v>
      </c>
      <c r="E74" s="87">
        <v>3.5</v>
      </c>
      <c r="F74" s="87">
        <v>4</v>
      </c>
      <c r="G74" s="72">
        <v>5900</v>
      </c>
      <c r="H74" s="73">
        <v>5.0999999999999996</v>
      </c>
      <c r="I74" s="73">
        <v>16</v>
      </c>
      <c r="J74" s="74">
        <f>(Table5[[#This Row],[RPM]]/5400-1)</f>
        <v>9.259259259259256E-2</v>
      </c>
      <c r="K74" s="75">
        <v>140</v>
      </c>
      <c r="L74" s="70">
        <v>3</v>
      </c>
      <c r="M74" s="76">
        <v>300000</v>
      </c>
      <c r="N74" s="70">
        <v>180</v>
      </c>
      <c r="O74" s="76">
        <v>800000</v>
      </c>
      <c r="P74" s="165">
        <f t="shared" ref="P74" si="7">10^14</f>
        <v>100000000000000</v>
      </c>
      <c r="Q74" s="78">
        <v>24</v>
      </c>
      <c r="R74" s="73">
        <v>6.49</v>
      </c>
      <c r="S74" s="73">
        <v>4.59</v>
      </c>
      <c r="T74" s="131">
        <v>0.77</v>
      </c>
      <c r="U74" s="136">
        <f>(((Table5[[#This Row],[Watts Active]]*Power_On_Hours_Year/1000)*Active_Duty_Cycle)+((Table5[[#This Row],[Watts Idle]]*Power_On_Hours_Year/1000)*(100%-Active_Duty_Cycle)))*CostPerKWH</f>
        <v>5.4457284000000001</v>
      </c>
      <c r="V74" s="202">
        <f>Table5[Energy$year]/Table5[[#This Row],[SizTB]]</f>
        <v>1.3614321</v>
      </c>
      <c r="W74" s="199">
        <v>189.99</v>
      </c>
      <c r="X74" s="79">
        <f>Table5[[#This Row],[Cost]]/Table5[[#This Row],[SizTB]]*Exchange_Rate</f>
        <v>47.497500000000002</v>
      </c>
      <c r="Y74" s="206">
        <f>Table5[[#This Row],[Cost]]+((CompareWarrYrs-Table5[[#This Row],[S]])*(Incremental_Warr_Yr*Table5[[#This Row],[Cost]]))*Exchange_Rate</f>
        <v>231.7878</v>
      </c>
      <c r="Z74" s="79">
        <f>Table5[[#This Row],[$+Warr]]/Table5[[#This Row],[SizTB]]</f>
        <v>57.946950000000001</v>
      </c>
      <c r="AA74" s="79">
        <f>Table5[[#This Row],[$PerTB]]/CompareWarrYrs</f>
        <v>11.58939</v>
      </c>
      <c r="AB74" s="80"/>
    </row>
    <row r="75" spans="1:28" ht="15.75" thickTop="1">
      <c r="A75" s="126">
        <v>43044</v>
      </c>
      <c r="B75" t="s">
        <v>42</v>
      </c>
      <c r="C75" s="127" t="s">
        <v>118</v>
      </c>
      <c r="D75" s="101" t="s">
        <v>50</v>
      </c>
      <c r="E75" s="121">
        <v>3.5</v>
      </c>
      <c r="F75" s="121">
        <v>6</v>
      </c>
      <c r="G75" s="46">
        <v>7200</v>
      </c>
      <c r="H75" s="5"/>
      <c r="I75" s="5">
        <v>8.5</v>
      </c>
      <c r="J75" s="65">
        <f>(Table5[[#This Row],[RPM]]/5400-1)</f>
        <v>0.33333333333333326</v>
      </c>
      <c r="K75" s="49">
        <v>230</v>
      </c>
      <c r="L75" s="7">
        <v>5</v>
      </c>
      <c r="M75" s="40">
        <v>600000</v>
      </c>
      <c r="N75" s="7">
        <v>550</v>
      </c>
      <c r="O75" s="128">
        <v>2500000</v>
      </c>
      <c r="P75" s="39">
        <f t="shared" ref="P75:P76" si="8">10^16</f>
        <v>1E+16</v>
      </c>
      <c r="Q75" s="57"/>
      <c r="R75" s="5">
        <v>8.3000000000000007</v>
      </c>
      <c r="S75" s="5">
        <v>5.6</v>
      </c>
      <c r="T75" s="130"/>
      <c r="U75" s="134">
        <f>(((Table5[[#This Row],[Watts Active]]*Power_On_Hours_Year/1000)*Active_Duty_Cycle)+((Table5[[#This Row],[Watts Idle]]*Power_On_Hours_Year/1000)*(100%-Active_Duty_Cycle)))*CostPerKWH</f>
        <v>6.7277208000000002</v>
      </c>
      <c r="V75" s="202">
        <f>Table5[Energy$year]/Table5[[#This Row],[SizTB]]</f>
        <v>1.1212868</v>
      </c>
      <c r="W75" s="200">
        <v>272.17</v>
      </c>
      <c r="X75" s="6">
        <f>Table5[[#This Row],[Cost]]/Table5[[#This Row],[SizTB]]*Exchange_Rate</f>
        <v>45.361666666666672</v>
      </c>
      <c r="Y75" s="206">
        <f>Table5[[#This Row],[Cost]]+((CompareWarrYrs-Table5[[#This Row],[S]])*(Incremental_Warr_Yr*Table5[[#This Row],[Cost]]))*Exchange_Rate</f>
        <v>272.17</v>
      </c>
      <c r="Z75" s="6">
        <f>Table5[[#This Row],[$+Warr]]/Table5[[#This Row],[SizTB]]</f>
        <v>45.361666666666672</v>
      </c>
      <c r="AA75" s="6">
        <f>Table5[[#This Row],[$PerTB]]/CompareWarrYrs</f>
        <v>9.0723333333333347</v>
      </c>
      <c r="AB75" s="44" t="s">
        <v>119</v>
      </c>
    </row>
    <row r="76" spans="1:28">
      <c r="A76" s="126">
        <v>43044</v>
      </c>
      <c r="B76" t="s">
        <v>42</v>
      </c>
      <c r="C76" s="127" t="s">
        <v>118</v>
      </c>
      <c r="D76" s="101" t="s">
        <v>50</v>
      </c>
      <c r="E76" s="121">
        <v>3.5</v>
      </c>
      <c r="F76" s="121">
        <v>8</v>
      </c>
      <c r="G76" s="46">
        <v>7200</v>
      </c>
      <c r="H76" s="5"/>
      <c r="I76" s="5">
        <v>8.5</v>
      </c>
      <c r="J76" s="65">
        <f>(Table5[[#This Row],[RPM]]/5400-1)</f>
        <v>0.33333333333333326</v>
      </c>
      <c r="K76" s="49">
        <v>230</v>
      </c>
      <c r="L76" s="7">
        <v>5</v>
      </c>
      <c r="M76" s="40">
        <v>600000</v>
      </c>
      <c r="N76" s="7">
        <v>550</v>
      </c>
      <c r="O76" s="128">
        <v>2500000</v>
      </c>
      <c r="P76" s="39">
        <f t="shared" si="8"/>
        <v>1E+16</v>
      </c>
      <c r="Q76" s="57"/>
      <c r="R76" s="5">
        <v>9.1</v>
      </c>
      <c r="S76" s="5">
        <v>6.4</v>
      </c>
      <c r="T76" s="130"/>
      <c r="U76" s="134">
        <f>(((Table5[[#This Row],[Watts Active]]*Power_On_Hours_Year/1000)*Active_Duty_Cycle)+((Table5[[#This Row],[Watts Idle]]*Power_On_Hours_Year/1000)*(100%-Active_Duty_Cycle)))*CostPerKWH</f>
        <v>7.6042968000000002</v>
      </c>
      <c r="V76" s="202">
        <f>Table5[Energy$year]/Table5[[#This Row],[SizTB]]</f>
        <v>0.95053710000000002</v>
      </c>
      <c r="W76" s="200">
        <v>340.82</v>
      </c>
      <c r="X76" s="6">
        <f>Table5[[#This Row],[Cost]]/Table5[[#This Row],[SizTB]]*Exchange_Rate</f>
        <v>42.602499999999999</v>
      </c>
      <c r="Y76" s="206">
        <f>Table5[[#This Row],[Cost]]+((CompareWarrYrs-Table5[[#This Row],[S]])*(Incremental_Warr_Yr*Table5[[#This Row],[Cost]]))*Exchange_Rate</f>
        <v>340.82</v>
      </c>
      <c r="Z76" s="6">
        <f>Table5[[#This Row],[$+Warr]]/Table5[[#This Row],[SizTB]]</f>
        <v>42.602499999999999</v>
      </c>
      <c r="AA76" s="6">
        <f>Table5[[#This Row],[$PerTB]]/CompareWarrYrs</f>
        <v>8.5205000000000002</v>
      </c>
      <c r="AB76" s="44" t="s">
        <v>119</v>
      </c>
    </row>
    <row r="77" spans="1:28">
      <c r="A77" s="126">
        <v>43044</v>
      </c>
      <c r="B77" t="s">
        <v>42</v>
      </c>
      <c r="C77" s="127" t="s">
        <v>118</v>
      </c>
      <c r="D77" s="101" t="s">
        <v>50</v>
      </c>
      <c r="E77" s="121">
        <v>3.5</v>
      </c>
      <c r="F77" s="121">
        <v>10</v>
      </c>
      <c r="G77" s="46">
        <v>7200</v>
      </c>
      <c r="H77" s="5"/>
      <c r="I77" s="5">
        <v>8.5</v>
      </c>
      <c r="J77" s="65">
        <f>(Table5[[#This Row],[RPM]]/5400-1)</f>
        <v>0.33333333333333326</v>
      </c>
      <c r="K77" s="49">
        <v>237</v>
      </c>
      <c r="L77" s="7">
        <v>5</v>
      </c>
      <c r="M77" s="40">
        <v>600000</v>
      </c>
      <c r="N77" s="7">
        <v>550</v>
      </c>
      <c r="O77" s="128">
        <v>2500000</v>
      </c>
      <c r="P77" s="39">
        <f>10^16</f>
        <v>1E+16</v>
      </c>
      <c r="Q77" s="57"/>
      <c r="R77" s="5">
        <v>10</v>
      </c>
      <c r="S77" s="5">
        <v>7.3</v>
      </c>
      <c r="T77" s="130"/>
      <c r="U77" s="134">
        <f>(((Table5[[#This Row],[Watts Active]]*Power_On_Hours_Year/1000)*Active_Duty_Cycle)+((Table5[[#This Row],[Watts Idle]]*Power_On_Hours_Year/1000)*(100%-Active_Duty_Cycle)))*CostPerKWH</f>
        <v>8.5904448000000002</v>
      </c>
      <c r="V77" s="202">
        <f>Table5[Energy$year]/Table5[[#This Row],[SizTB]]</f>
        <v>0.85904448</v>
      </c>
      <c r="W77" s="200"/>
      <c r="X77" s="6">
        <f>Table5[[#This Row],[Cost]]/Table5[[#This Row],[SizTB]]*Exchange_Rate</f>
        <v>0</v>
      </c>
      <c r="Y77" s="206">
        <f>Table5[[#This Row],[Cost]]+((CompareWarrYrs-Table5[[#This Row],[S]])*(Incremental_Warr_Yr*Table5[[#This Row],[Cost]]))*Exchange_Rate</f>
        <v>0</v>
      </c>
      <c r="Z77" s="6">
        <f>Table5[[#This Row],[$+Warr]]/Table5[[#This Row],[SizTB]]</f>
        <v>0</v>
      </c>
      <c r="AA77" s="6">
        <f>Table5[[#This Row],[$PerTB]]/CompareWarrYrs</f>
        <v>0</v>
      </c>
      <c r="AB77" s="44" t="s">
        <v>119</v>
      </c>
    </row>
    <row r="78" spans="1:28">
      <c r="A78" s="126">
        <v>43044</v>
      </c>
      <c r="B78" t="s">
        <v>42</v>
      </c>
      <c r="C78" s="127" t="s">
        <v>117</v>
      </c>
      <c r="D78" s="101" t="s">
        <v>50</v>
      </c>
      <c r="E78" s="121">
        <v>2.5</v>
      </c>
      <c r="F78" s="121">
        <v>1.8</v>
      </c>
      <c r="G78" s="46">
        <v>10500</v>
      </c>
      <c r="H78" s="5">
        <v>2.86</v>
      </c>
      <c r="I78" s="5">
        <v>4</v>
      </c>
      <c r="J78" s="65">
        <f>(Table5[[#This Row],[RPM]]/5400-1)</f>
        <v>0.94444444444444442</v>
      </c>
      <c r="K78" s="49">
        <v>226</v>
      </c>
      <c r="L78" s="7">
        <v>5</v>
      </c>
      <c r="M78" s="128"/>
      <c r="N78" s="7"/>
      <c r="O78" s="128">
        <v>2000000</v>
      </c>
      <c r="P78" s="39">
        <f>10^17</f>
        <v>1E+17</v>
      </c>
      <c r="Q78" s="57"/>
      <c r="R78" s="5">
        <v>8.6999999999999993</v>
      </c>
      <c r="S78" s="5">
        <v>4</v>
      </c>
      <c r="T78" s="130"/>
      <c r="U78" s="134">
        <f>(((Table5[[#This Row],[Watts Active]]*Power_On_Hours_Year/1000)*Active_Duty_Cycle)+((Table5[[#This Row],[Watts Idle]]*Power_On_Hours_Year/1000)*(100%-Active_Duty_Cycle)))*CostPerKWH</f>
        <v>5.4128568000000001</v>
      </c>
      <c r="V78" s="202">
        <f>Table5[Energy$year]/Table5[[#This Row],[SizTB]]</f>
        <v>3.0071426666666667</v>
      </c>
      <c r="W78" s="200">
        <v>349</v>
      </c>
      <c r="X78" s="6">
        <f>Table5[[#This Row],[Cost]]/Table5[[#This Row],[SizTB]]*Exchange_Rate</f>
        <v>193.88888888888889</v>
      </c>
      <c r="Y78" s="206">
        <f>Table5[[#This Row],[Cost]]+((CompareWarrYrs-Table5[[#This Row],[S]])*(Incremental_Warr_Yr*Table5[[#This Row],[Cost]]))*Exchange_Rate</f>
        <v>349</v>
      </c>
      <c r="Z78" s="6">
        <f>Table5[[#This Row],[$+Warr]]/Table5[[#This Row],[SizTB]]</f>
        <v>193.88888888888889</v>
      </c>
      <c r="AA78" s="6">
        <f>Table5[[#This Row],[$PerTB]]/CompareWarrYrs</f>
        <v>38.777777777777779</v>
      </c>
      <c r="AB78" s="44"/>
    </row>
    <row r="79" spans="1:28">
      <c r="A79" s="126">
        <v>43044</v>
      </c>
      <c r="B79" t="s">
        <v>42</v>
      </c>
      <c r="C79" s="127" t="s">
        <v>117</v>
      </c>
      <c r="D79" s="101" t="s">
        <v>50</v>
      </c>
      <c r="E79" s="121">
        <v>2.5</v>
      </c>
      <c r="F79" s="121">
        <v>0.9</v>
      </c>
      <c r="G79" s="46">
        <v>15000</v>
      </c>
      <c r="H79" s="5">
        <v>2</v>
      </c>
      <c r="I79" s="5">
        <v>2.9</v>
      </c>
      <c r="J79" s="65">
        <f>(Table5[[#This Row],[RPM]]/5400-1)</f>
        <v>1.7777777777777777</v>
      </c>
      <c r="K79" s="49">
        <v>259</v>
      </c>
      <c r="L79" s="7">
        <v>5</v>
      </c>
      <c r="M79" s="128">
        <v>600000</v>
      </c>
      <c r="N79" s="7"/>
      <c r="O79" s="128">
        <v>2000000</v>
      </c>
      <c r="P79" s="39">
        <f>10^17</f>
        <v>1E+17</v>
      </c>
      <c r="Q79" s="57"/>
      <c r="R79" s="5">
        <v>9</v>
      </c>
      <c r="S79" s="5">
        <v>5.6</v>
      </c>
      <c r="T79" s="130"/>
      <c r="U79" s="134">
        <f>(((Table5[[#This Row],[Watts Active]]*Power_On_Hours_Year/1000)*Active_Duty_Cycle)+((Table5[[#This Row],[Watts Idle]]*Power_On_Hours_Year/1000)*(100%-Active_Duty_Cycle)))*CostPerKWH</f>
        <v>6.8811216000000002</v>
      </c>
      <c r="V79" s="202">
        <f>Table5[Energy$year]/Table5[[#This Row],[SizTB]]</f>
        <v>7.6456906666666669</v>
      </c>
      <c r="W79" s="200">
        <v>194.39</v>
      </c>
      <c r="X79" s="6">
        <f>Table5[[#This Row],[Cost]]/Table5[[#This Row],[SizTB]]*Exchange_Rate</f>
        <v>215.98888888888888</v>
      </c>
      <c r="Y79" s="206">
        <f>Table5[[#This Row],[Cost]]+((CompareWarrYrs-Table5[[#This Row],[S]])*(Incremental_Warr_Yr*Table5[[#This Row],[Cost]]))*Exchange_Rate</f>
        <v>194.39</v>
      </c>
      <c r="Z79" s="6">
        <f>Table5[[#This Row],[$+Warr]]/Table5[[#This Row],[SizTB]]</f>
        <v>215.98888888888888</v>
      </c>
      <c r="AA79" s="6">
        <f>Table5[[#This Row],[$PerTB]]/CompareWarrYrs</f>
        <v>43.197777777777773</v>
      </c>
      <c r="AB79" s="44"/>
    </row>
    <row r="80" spans="1:28">
      <c r="A80" s="1">
        <v>43046</v>
      </c>
      <c r="B80" t="s">
        <v>42</v>
      </c>
      <c r="C80" s="117" t="s">
        <v>43</v>
      </c>
      <c r="D80" s="31" t="s">
        <v>50</v>
      </c>
      <c r="E80" s="100">
        <v>3.5</v>
      </c>
      <c r="F80" s="86">
        <v>4</v>
      </c>
      <c r="G80" s="46">
        <v>7200</v>
      </c>
      <c r="H80" s="5">
        <v>4.17</v>
      </c>
      <c r="I80" s="5"/>
      <c r="J80" s="65">
        <f>(Table5[[#This Row],[RPM]]/5400-1)</f>
        <v>0.33333333333333326</v>
      </c>
      <c r="K80" s="49">
        <v>200</v>
      </c>
      <c r="L80">
        <v>3</v>
      </c>
      <c r="M80" s="40"/>
      <c r="N80">
        <v>180</v>
      </c>
      <c r="O80" s="40">
        <v>1000000</v>
      </c>
      <c r="P80" s="39">
        <f t="shared" ref="P80:P85" si="9">10^14</f>
        <v>100000000000000</v>
      </c>
      <c r="Q80" s="57"/>
      <c r="R80" s="5">
        <v>9.6</v>
      </c>
      <c r="S80" s="5">
        <v>5.2</v>
      </c>
      <c r="T80" s="130"/>
      <c r="U80" s="134">
        <f>(((Table5[[#This Row],[Watts Active]]*Power_On_Hours_Year/1000)*Active_Duty_Cycle)+((Table5[[#This Row],[Watts Idle]]*Power_On_Hours_Year/1000)*(100%-Active_Duty_Cycle)))*CostPerKWH</f>
        <v>6.6619776000000011</v>
      </c>
      <c r="V80" s="202">
        <f>Table5[Energy$year]/Table5[[#This Row],[SizTB]]</f>
        <v>1.6654944000000003</v>
      </c>
      <c r="W80" s="201">
        <v>139.99</v>
      </c>
      <c r="X80" s="6">
        <f>Table5[[#This Row],[Cost]]/Table5[[#This Row],[SizTB]]*Exchange_Rate</f>
        <v>34.997500000000002</v>
      </c>
      <c r="Y80" s="206">
        <f>Table5[[#This Row],[Cost]]+((CompareWarrYrs-Table5[[#This Row],[S]])*(Incremental_Warr_Yr*Table5[[#This Row],[Cost]]))*Exchange_Rate</f>
        <v>170.7878</v>
      </c>
      <c r="Z80" s="6">
        <f>Table5[[#This Row],[$+Warr]]/Table5[[#This Row],[SizTB]]</f>
        <v>42.696950000000001</v>
      </c>
      <c r="AA80" s="6">
        <f>Table5[[#This Row],[$PerTB]]/CompareWarrYrs</f>
        <v>8.5393900000000009</v>
      </c>
      <c r="AB80" s="44"/>
    </row>
    <row r="81" spans="1:28">
      <c r="A81" s="1">
        <v>43046</v>
      </c>
      <c r="B81" t="s">
        <v>42</v>
      </c>
      <c r="C81" s="117" t="s">
        <v>43</v>
      </c>
      <c r="D81" s="31" t="s">
        <v>50</v>
      </c>
      <c r="E81" s="100">
        <v>3.5</v>
      </c>
      <c r="F81" s="86">
        <v>6</v>
      </c>
      <c r="G81" s="46">
        <v>7200</v>
      </c>
      <c r="H81" s="5">
        <v>4.17</v>
      </c>
      <c r="I81" s="5"/>
      <c r="J81" s="65">
        <f>(Table5[[#This Row],[RPM]]/5400-1)</f>
        <v>0.33333333333333326</v>
      </c>
      <c r="K81" s="49">
        <v>210</v>
      </c>
      <c r="L81">
        <v>3</v>
      </c>
      <c r="M81" s="40"/>
      <c r="N81">
        <v>180</v>
      </c>
      <c r="O81" s="40">
        <v>1000000</v>
      </c>
      <c r="P81" s="39">
        <f t="shared" si="9"/>
        <v>100000000000000</v>
      </c>
      <c r="Q81" s="57"/>
      <c r="R81" s="5">
        <v>10.1</v>
      </c>
      <c r="S81" s="5">
        <v>6.7</v>
      </c>
      <c r="T81" s="130"/>
      <c r="U81" s="134">
        <f>(((Table5[[#This Row],[Watts Active]]*Power_On_Hours_Year/1000)*Active_Duty_Cycle)+((Table5[[#This Row],[Watts Idle]]*Power_On_Hours_Year/1000)*(100%-Active_Duty_Cycle)))*CostPerKWH</f>
        <v>8.0864136000000002</v>
      </c>
      <c r="V81" s="202">
        <f>Table5[Energy$year]/Table5[[#This Row],[SizTB]]</f>
        <v>1.3477356</v>
      </c>
      <c r="W81" s="201">
        <v>219.99</v>
      </c>
      <c r="X81" s="6">
        <f>Table5[[#This Row],[Cost]]/Table5[[#This Row],[SizTB]]*Exchange_Rate</f>
        <v>36.664999999999999</v>
      </c>
      <c r="Y81" s="206">
        <f>Table5[[#This Row],[Cost]]+((CompareWarrYrs-Table5[[#This Row],[S]])*(Incremental_Warr_Yr*Table5[[#This Row],[Cost]]))*Exchange_Rate</f>
        <v>268.38780000000003</v>
      </c>
      <c r="Z81" s="6">
        <f>Table5[[#This Row],[$+Warr]]/Table5[[#This Row],[SizTB]]</f>
        <v>44.731300000000005</v>
      </c>
      <c r="AA81" s="6">
        <f>Table5[[#This Row],[$PerTB]]/CompareWarrYrs</f>
        <v>8.9462600000000005</v>
      </c>
      <c r="AB81" s="44"/>
    </row>
    <row r="82" spans="1:28">
      <c r="A82" s="1">
        <v>43046</v>
      </c>
      <c r="B82" t="s">
        <v>42</v>
      </c>
      <c r="C82" s="117" t="s">
        <v>43</v>
      </c>
      <c r="D82" s="31" t="s">
        <v>50</v>
      </c>
      <c r="E82" s="100">
        <v>3.5</v>
      </c>
      <c r="F82" s="86">
        <v>8</v>
      </c>
      <c r="G82" s="46">
        <v>7200</v>
      </c>
      <c r="H82" s="5">
        <v>4.17</v>
      </c>
      <c r="I82" s="5"/>
      <c r="J82" s="65">
        <f>(Table5[[#This Row],[RPM]]/5400-1)</f>
        <v>0.33333333333333326</v>
      </c>
      <c r="K82" s="49">
        <v>240</v>
      </c>
      <c r="L82">
        <v>3</v>
      </c>
      <c r="M82" s="40"/>
      <c r="N82">
        <v>180</v>
      </c>
      <c r="O82" s="40">
        <v>1000000</v>
      </c>
      <c r="P82" s="39">
        <f t="shared" si="9"/>
        <v>100000000000000</v>
      </c>
      <c r="Q82" s="57"/>
      <c r="R82" s="5">
        <v>9.1999999999999993</v>
      </c>
      <c r="S82" s="5">
        <v>6.2</v>
      </c>
      <c r="T82" s="130"/>
      <c r="U82" s="134">
        <f>(((Table5[[#This Row],[Watts Active]]*Power_On_Hours_Year/1000)*Active_Duty_Cycle)+((Table5[[#This Row],[Watts Idle]]*Power_On_Hours_Year/1000)*(100%-Active_Duty_Cycle)))*CostPerKWH</f>
        <v>7.4508960000000002</v>
      </c>
      <c r="V82" s="202">
        <f>Table5[Energy$year]/Table5[[#This Row],[SizTB]]</f>
        <v>0.93136200000000002</v>
      </c>
      <c r="W82" s="201">
        <v>229.99</v>
      </c>
      <c r="X82" s="6">
        <f>Table5[[#This Row],[Cost]]/Table5[[#This Row],[SizTB]]*Exchange_Rate</f>
        <v>28.748750000000001</v>
      </c>
      <c r="Y82" s="206">
        <f>Table5[[#This Row],[Cost]]+((CompareWarrYrs-Table5[[#This Row],[S]])*(Incremental_Warr_Yr*Table5[[#This Row],[Cost]]))*Exchange_Rate</f>
        <v>280.58780000000002</v>
      </c>
      <c r="Z82" s="6">
        <f>Table5[[#This Row],[$+Warr]]/Table5[[#This Row],[SizTB]]</f>
        <v>35.073475000000002</v>
      </c>
      <c r="AA82" s="6">
        <f>Table5[[#This Row],[$PerTB]]/CompareWarrYrs</f>
        <v>7.0146950000000006</v>
      </c>
      <c r="AB82" s="44"/>
    </row>
    <row r="83" spans="1:28">
      <c r="A83" s="1">
        <v>43055</v>
      </c>
      <c r="B83" t="s">
        <v>42</v>
      </c>
      <c r="C83" s="117" t="s">
        <v>55</v>
      </c>
      <c r="D83" s="31" t="s">
        <v>134</v>
      </c>
      <c r="E83" s="100">
        <v>3.5</v>
      </c>
      <c r="F83" s="86">
        <v>1</v>
      </c>
      <c r="G83" s="46">
        <v>7200</v>
      </c>
      <c r="H83" s="5">
        <v>4.17</v>
      </c>
      <c r="I83" s="5"/>
      <c r="J83" s="65">
        <f>(Table5[[#This Row],[RPM]]/5400-1)</f>
        <v>0.33333333333333326</v>
      </c>
      <c r="K83" s="49"/>
      <c r="L83">
        <v>2</v>
      </c>
      <c r="M83" s="40"/>
      <c r="O83" s="40"/>
      <c r="P83" s="39">
        <f t="shared" si="9"/>
        <v>100000000000000</v>
      </c>
      <c r="Q83" s="57"/>
      <c r="R83" s="5">
        <v>6.4</v>
      </c>
      <c r="S83" s="5">
        <v>3.7</v>
      </c>
      <c r="T83" s="130"/>
      <c r="U83" s="134">
        <f>(((Table5[[#This Row],[Watts Active]]*Power_On_Hours_Year/1000)*Active_Duty_Cycle)+((Table5[[#This Row],[Watts Idle]]*Power_On_Hours_Year/1000)*(100%-Active_Duty_Cycle)))*CostPerKWH</f>
        <v>4.6458528000000001</v>
      </c>
      <c r="V83" s="202">
        <f>Table5[Energy$year]/Table5[[#This Row],[SizTB]]</f>
        <v>4.6458528000000001</v>
      </c>
      <c r="W83" s="200">
        <v>49.99</v>
      </c>
      <c r="X83" s="6">
        <f>Table5[[#This Row],[Cost]]/Table5[[#This Row],[SizTB]]*Exchange_Rate</f>
        <v>49.99</v>
      </c>
      <c r="Y83" s="206">
        <f>Table5[[#This Row],[Cost]]+((CompareWarrYrs-Table5[[#This Row],[S]])*(Incremental_Warr_Yr*Table5[[#This Row],[Cost]]))*Exchange_Rate</f>
        <v>66.486699999999999</v>
      </c>
      <c r="Z83" s="6">
        <f>Table5[[#This Row],[$+Warr]]/Table5[[#This Row],[SizTB]]</f>
        <v>66.486699999999999</v>
      </c>
      <c r="AA83" s="6">
        <f>Table5[[#This Row],[$PerTB]]/CompareWarrYrs</f>
        <v>13.29734</v>
      </c>
      <c r="AB83" s="44"/>
    </row>
    <row r="84" spans="1:28">
      <c r="A84" s="1">
        <v>43055</v>
      </c>
      <c r="B84" t="s">
        <v>42</v>
      </c>
      <c r="C84" s="117" t="s">
        <v>55</v>
      </c>
      <c r="D84" s="129" t="s">
        <v>134</v>
      </c>
      <c r="E84" s="100">
        <v>3.5</v>
      </c>
      <c r="F84" s="86">
        <v>2</v>
      </c>
      <c r="G84" s="46">
        <v>7200</v>
      </c>
      <c r="H84" s="5">
        <v>4.17</v>
      </c>
      <c r="I84" s="5"/>
      <c r="J84" s="65">
        <f>(Table5[[#This Row],[RPM]]/5400-1)</f>
        <v>0.33333333333333326</v>
      </c>
      <c r="K84" s="49"/>
      <c r="L84">
        <v>2</v>
      </c>
      <c r="M84" s="40"/>
      <c r="O84" s="40"/>
      <c r="P84" s="39">
        <f t="shared" si="9"/>
        <v>100000000000000</v>
      </c>
      <c r="Q84" s="57"/>
      <c r="R84" s="5">
        <v>6.4</v>
      </c>
      <c r="S84" s="5">
        <v>5.2</v>
      </c>
      <c r="T84" s="130"/>
      <c r="U84" s="134">
        <f>(((Table5[[#This Row],[Watts Active]]*Power_On_Hours_Year/1000)*Active_Duty_Cycle)+((Table5[[#This Row],[Watts Idle]]*Power_On_Hours_Year/1000)*(100%-Active_Duty_Cycle)))*CostPerKWH</f>
        <v>5.960716800000001</v>
      </c>
      <c r="V84" s="202">
        <f>Table5[Energy$year]/Table5[[#This Row],[SizTB]]</f>
        <v>2.9803584000000005</v>
      </c>
      <c r="W84" s="200">
        <v>71.989999999999995</v>
      </c>
      <c r="X84" s="6">
        <f>Table5[[#This Row],[Cost]]/Table5[[#This Row],[SizTB]]*Exchange_Rate</f>
        <v>35.994999999999997</v>
      </c>
      <c r="Y84" s="206">
        <f>Table5[[#This Row],[Cost]]+((CompareWarrYrs-Table5[[#This Row],[S]])*(Incremental_Warr_Yr*Table5[[#This Row],[Cost]]))*Exchange_Rate</f>
        <v>95.74669999999999</v>
      </c>
      <c r="Z84" s="6">
        <f>Table5[[#This Row],[$+Warr]]/Table5[[#This Row],[SizTB]]</f>
        <v>47.873349999999995</v>
      </c>
      <c r="AA84" s="6">
        <f>Table5[[#This Row],[$PerTB]]/CompareWarrYrs</f>
        <v>9.5746699999999993</v>
      </c>
      <c r="AB84" s="44"/>
    </row>
    <row r="85" spans="1:28">
      <c r="A85" s="1">
        <v>43055</v>
      </c>
      <c r="B85" t="s">
        <v>42</v>
      </c>
      <c r="C85" s="117" t="s">
        <v>55</v>
      </c>
      <c r="D85" s="129" t="s">
        <v>134</v>
      </c>
      <c r="E85" s="100">
        <v>3.5</v>
      </c>
      <c r="F85" s="86">
        <v>3</v>
      </c>
      <c r="G85" s="46">
        <v>7200</v>
      </c>
      <c r="H85" s="5">
        <v>4.17</v>
      </c>
      <c r="I85" s="5"/>
      <c r="J85" s="65">
        <f>(Table5[[#This Row],[RPM]]/5400-1)</f>
        <v>0.33333333333333326</v>
      </c>
      <c r="K85" s="49"/>
      <c r="L85">
        <v>2</v>
      </c>
      <c r="M85" s="40"/>
      <c r="O85" s="40"/>
      <c r="P85" s="39">
        <f t="shared" si="9"/>
        <v>100000000000000</v>
      </c>
      <c r="Q85" s="57"/>
      <c r="R85" s="5">
        <v>6.4</v>
      </c>
      <c r="S85" s="5">
        <v>5.2</v>
      </c>
      <c r="T85" s="130"/>
      <c r="U85" s="134">
        <f>(((Table5[[#This Row],[Watts Active]]*Power_On_Hours_Year/1000)*Active_Duty_Cycle)+((Table5[[#This Row],[Watts Idle]]*Power_On_Hours_Year/1000)*(100%-Active_Duty_Cycle)))*CostPerKWH</f>
        <v>5.960716800000001</v>
      </c>
      <c r="V85" s="202">
        <f>Table5[Energy$year]/Table5[[#This Row],[SizTB]]</f>
        <v>1.9869056000000003</v>
      </c>
      <c r="W85" s="200">
        <v>69.989999999999995</v>
      </c>
      <c r="X85" s="6">
        <f>Table5[[#This Row],[Cost]]/Table5[[#This Row],[SizTB]]*Exchange_Rate</f>
        <v>23.33</v>
      </c>
      <c r="Y85" s="206">
        <f>Table5[[#This Row],[Cost]]+((CompareWarrYrs-Table5[[#This Row],[S]])*(Incremental_Warr_Yr*Table5[[#This Row],[Cost]]))*Exchange_Rate</f>
        <v>93.086699999999993</v>
      </c>
      <c r="Z85" s="6">
        <f>Table5[[#This Row],[$+Warr]]/Table5[[#This Row],[SizTB]]</f>
        <v>31.028899999999997</v>
      </c>
      <c r="AA85" s="6">
        <f>Table5[[#This Row],[$PerTB]]/CompareWarrYrs</f>
        <v>6.205779999999999</v>
      </c>
      <c r="AB85" s="44"/>
    </row>
    <row r="86" spans="1:28">
      <c r="A86" s="1">
        <v>43055</v>
      </c>
      <c r="B86" t="s">
        <v>42</v>
      </c>
      <c r="C86" s="117" t="s">
        <v>66</v>
      </c>
      <c r="D86" s="129" t="s">
        <v>134</v>
      </c>
      <c r="E86" s="100">
        <v>3.5</v>
      </c>
      <c r="F86" s="86">
        <v>4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/>
      <c r="L86">
        <v>2</v>
      </c>
      <c r="M86" s="40"/>
      <c r="O86" s="40"/>
      <c r="P86" s="39">
        <f t="shared" ref="P86:P89" si="10">10^14</f>
        <v>100000000000000</v>
      </c>
      <c r="Q86" s="57"/>
      <c r="R86" s="5">
        <v>11.3</v>
      </c>
      <c r="S86" s="5">
        <v>6</v>
      </c>
      <c r="T86" s="130"/>
      <c r="U86" s="134">
        <f>(((Table5[[#This Row],[Watts Active]]*Power_On_Hours_Year/1000)*Active_Duty_Cycle)+((Table5[[#This Row],[Watts Idle]]*Power_On_Hours_Year/1000)*(100%-Active_Duty_Cycle)))*CostPerKWH</f>
        <v>7.7357832000000002</v>
      </c>
      <c r="V86" s="202">
        <f>Table5[Energy$year]/Table5[[#This Row],[SizTB]]</f>
        <v>1.9339458</v>
      </c>
      <c r="W86" s="200">
        <v>119.99</v>
      </c>
      <c r="X86" s="6">
        <f>Table5[[#This Row],[Cost]]/Table5[[#This Row],[SizTB]]*Exchange_Rate</f>
        <v>29.997499999999999</v>
      </c>
      <c r="Y86" s="206">
        <f>Table5[[#This Row],[Cost]]+((CompareWarrYrs-Table5[[#This Row],[S]])*(Incremental_Warr_Yr*Table5[[#This Row],[Cost]]))*Exchange_Rate</f>
        <v>159.58670000000001</v>
      </c>
      <c r="Z86" s="6">
        <f>Table5[[#This Row],[$+Warr]]/Table5[[#This Row],[SizTB]]</f>
        <v>39.896675000000002</v>
      </c>
      <c r="AA86" s="6">
        <f>Table5[[#This Row],[$PerTB]]/CompareWarrYrs</f>
        <v>7.9793350000000007</v>
      </c>
      <c r="AB86" s="44"/>
    </row>
    <row r="87" spans="1:28">
      <c r="A87" s="1">
        <v>43055</v>
      </c>
      <c r="B87" t="s">
        <v>42</v>
      </c>
      <c r="C87" s="117" t="s">
        <v>66</v>
      </c>
      <c r="D87" s="129" t="s">
        <v>134</v>
      </c>
      <c r="E87" s="100">
        <v>3.5</v>
      </c>
      <c r="F87" s="86">
        <v>5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/>
      <c r="L87">
        <v>2</v>
      </c>
      <c r="M87" s="40"/>
      <c r="O87" s="40"/>
      <c r="P87" s="39">
        <f t="shared" si="10"/>
        <v>100000000000000</v>
      </c>
      <c r="Q87" s="57"/>
      <c r="R87" s="5">
        <v>11.3</v>
      </c>
      <c r="S87" s="5">
        <v>6</v>
      </c>
      <c r="T87" s="130"/>
      <c r="U87" s="134">
        <f>(((Table5[[#This Row],[Watts Active]]*Power_On_Hours_Year/1000)*Active_Duty_Cycle)+((Table5[[#This Row],[Watts Idle]]*Power_On_Hours_Year/1000)*(100%-Active_Duty_Cycle)))*CostPerKWH</f>
        <v>7.7357832000000002</v>
      </c>
      <c r="V87" s="202">
        <f>Table5[Energy$year]/Table5[[#This Row],[SizTB]]</f>
        <v>1.5471566400000001</v>
      </c>
      <c r="W87" s="200">
        <v>119.99</v>
      </c>
      <c r="X87" s="6">
        <f>Table5[[#This Row],[Cost]]/Table5[[#This Row],[SizTB]]*Exchange_Rate</f>
        <v>23.997999999999998</v>
      </c>
      <c r="Y87" s="206">
        <f>Table5[[#This Row],[Cost]]+((CompareWarrYrs-Table5[[#This Row],[S]])*(Incremental_Warr_Yr*Table5[[#This Row],[Cost]]))*Exchange_Rate</f>
        <v>159.58670000000001</v>
      </c>
      <c r="Z87" s="6">
        <f>Table5[[#This Row],[$+Warr]]/Table5[[#This Row],[SizTB]]</f>
        <v>31.917340000000003</v>
      </c>
      <c r="AA87" s="6">
        <f>Table5[[#This Row],[$PerTB]]/CompareWarrYrs</f>
        <v>6.3834680000000006</v>
      </c>
      <c r="AB87" s="44"/>
    </row>
    <row r="88" spans="1:28">
      <c r="A88" s="1">
        <v>43055</v>
      </c>
      <c r="B88" t="s">
        <v>42</v>
      </c>
      <c r="C88" s="117" t="s">
        <v>66</v>
      </c>
      <c r="D88" s="129" t="s">
        <v>134</v>
      </c>
      <c r="E88" s="100">
        <v>3.5</v>
      </c>
      <c r="F88" s="86">
        <v>6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/>
      <c r="L88">
        <v>2</v>
      </c>
      <c r="M88" s="40"/>
      <c r="O88" s="40"/>
      <c r="P88" s="39">
        <f t="shared" si="10"/>
        <v>100000000000000</v>
      </c>
      <c r="Q88" s="57"/>
      <c r="R88" s="5">
        <v>11.3</v>
      </c>
      <c r="S88" s="5">
        <v>6</v>
      </c>
      <c r="T88" s="130"/>
      <c r="U88" s="134">
        <f>(((Table5[[#This Row],[Watts Active]]*Power_On_Hours_Year/1000)*Active_Duty_Cycle)+((Table5[[#This Row],[Watts Idle]]*Power_On_Hours_Year/1000)*(100%-Active_Duty_Cycle)))*CostPerKWH</f>
        <v>7.7357832000000002</v>
      </c>
      <c r="V88" s="202">
        <f>Table5[Energy$year]/Table5[[#This Row],[SizTB]]</f>
        <v>1.2892972</v>
      </c>
      <c r="W88" s="200">
        <v>189.99</v>
      </c>
      <c r="X88" s="6">
        <f>Table5[[#This Row],[Cost]]/Table5[[#This Row],[SizTB]]*Exchange_Rate</f>
        <v>31.665000000000003</v>
      </c>
      <c r="Y88" s="206">
        <f>Table5[[#This Row],[Cost]]+((CompareWarrYrs-Table5[[#This Row],[S]])*(Incremental_Warr_Yr*Table5[[#This Row],[Cost]]))*Exchange_Rate</f>
        <v>252.68670000000003</v>
      </c>
      <c r="Z88" s="6">
        <f>Table5[[#This Row],[$+Warr]]/Table5[[#This Row],[SizTB]]</f>
        <v>42.114450000000005</v>
      </c>
      <c r="AA88" s="6">
        <f>Table5[[#This Row],[$PerTB]]/CompareWarrYrs</f>
        <v>8.4228900000000007</v>
      </c>
      <c r="AB88" s="44"/>
    </row>
    <row r="89" spans="1:28" ht="15.75" thickBot="1">
      <c r="A89" s="69">
        <v>43055</v>
      </c>
      <c r="B89" s="70" t="s">
        <v>42</v>
      </c>
      <c r="C89" s="116" t="s">
        <v>66</v>
      </c>
      <c r="D89" s="71" t="s">
        <v>134</v>
      </c>
      <c r="E89" s="87">
        <v>3.5</v>
      </c>
      <c r="F89" s="87">
        <v>8</v>
      </c>
      <c r="G89" s="72">
        <v>7200</v>
      </c>
      <c r="H89" s="73">
        <v>4.17</v>
      </c>
      <c r="I89" s="73"/>
      <c r="J89" s="74">
        <f>(Table5[[#This Row],[RPM]]/5400-1)</f>
        <v>0.33333333333333326</v>
      </c>
      <c r="K89" s="75"/>
      <c r="L89" s="70">
        <v>2</v>
      </c>
      <c r="M89" s="76"/>
      <c r="N89" s="70"/>
      <c r="O89" s="76"/>
      <c r="P89" s="165">
        <f t="shared" si="10"/>
        <v>100000000000000</v>
      </c>
      <c r="Q89" s="78"/>
      <c r="R89" s="164">
        <v>11.3</v>
      </c>
      <c r="S89" s="164">
        <v>6</v>
      </c>
      <c r="T89" s="131"/>
      <c r="U89" s="134">
        <f>(((Table5[[#This Row],[Watts Active]]*Power_On_Hours_Year/1000)*Active_Duty_Cycle)+((Table5[[#This Row],[Watts Idle]]*Power_On_Hours_Year/1000)*(100%-Active_Duty_Cycle)))*CostPerKWH</f>
        <v>7.7357832000000002</v>
      </c>
      <c r="V89" s="202">
        <f>Table5[Energy$year]/Table5[[#This Row],[SizTB]]</f>
        <v>0.96697290000000002</v>
      </c>
      <c r="W89" s="199">
        <v>249.99</v>
      </c>
      <c r="X89" s="79">
        <f>Table5[[#This Row],[Cost]]/Table5[[#This Row],[SizTB]]*Exchange_Rate</f>
        <v>31.248750000000001</v>
      </c>
      <c r="Y89" s="206">
        <f>Table5[[#This Row],[Cost]]+((CompareWarrYrs-Table5[[#This Row],[S]])*(Incremental_Warr_Yr*Table5[[#This Row],[Cost]]))*Exchange_Rate</f>
        <v>332.48670000000004</v>
      </c>
      <c r="Z89" s="79">
        <f>Table5[[#This Row],[$+Warr]]/Table5[[#This Row],[SizTB]]</f>
        <v>41.560837500000005</v>
      </c>
      <c r="AA89" s="79">
        <f>Table5[[#This Row],[$PerTB]]/CompareWarrYrs</f>
        <v>8.312167500000001</v>
      </c>
      <c r="AB89" s="80"/>
    </row>
    <row r="90" spans="1:28" ht="15.75" thickTop="1">
      <c r="A90" s="1">
        <v>43046</v>
      </c>
      <c r="B90" t="s">
        <v>6</v>
      </c>
      <c r="C90" s="117" t="s">
        <v>81</v>
      </c>
      <c r="D90" s="31" t="s">
        <v>50</v>
      </c>
      <c r="E90" s="100">
        <v>3.5</v>
      </c>
      <c r="F90" s="86">
        <v>6</v>
      </c>
      <c r="G90" s="46">
        <v>5760</v>
      </c>
      <c r="H90" s="5"/>
      <c r="I90" s="5"/>
      <c r="J90" s="65">
        <f>(Table5[[#This Row],[RPM]]/5400-1)</f>
        <v>6.6666666666666652E-2</v>
      </c>
      <c r="K90" s="49">
        <v>150</v>
      </c>
      <c r="L90">
        <v>3</v>
      </c>
      <c r="M90" s="40">
        <v>300000</v>
      </c>
      <c r="O90" s="40">
        <v>500000</v>
      </c>
      <c r="P90" s="39">
        <f t="shared" ref="P90:P95" si="11">10^14</f>
        <v>100000000000000</v>
      </c>
      <c r="Q90" s="57"/>
      <c r="R90" s="5">
        <v>6.5</v>
      </c>
      <c r="S90" s="5">
        <v>4.8</v>
      </c>
      <c r="T90" s="130"/>
      <c r="U90" s="134">
        <f>(((Table5[[#This Row],[Watts Active]]*Power_On_Hours_Year/1000)*Active_Duty_Cycle)+((Table5[[#This Row],[Watts Idle]]*Power_On_Hours_Year/1000)*(100%-Active_Duty_Cycle)))*CostPerKWH</f>
        <v>5.6320008000000001</v>
      </c>
      <c r="V90" s="202">
        <f>Table5[Energy$year]/Table5[[#This Row],[SizTB]]</f>
        <v>0.93866680000000002</v>
      </c>
      <c r="W90" s="201">
        <v>159.99</v>
      </c>
      <c r="X90" s="6">
        <f>Table5[[#This Row],[Cost]]/Table5[[#This Row],[SizTB]]*Exchange_Rate</f>
        <v>26.665000000000003</v>
      </c>
      <c r="Y90" s="206">
        <f>Table5[[#This Row],[Cost]]+((CompareWarrYrs-Table5[[#This Row],[S]])*(Incremental_Warr_Yr*Table5[[#This Row],[Cost]]))*Exchange_Rate</f>
        <v>195.18780000000001</v>
      </c>
      <c r="Z90" s="6">
        <f>Table5[[#This Row],[$+Warr]]/Table5[[#This Row],[SizTB]]</f>
        <v>32.531300000000002</v>
      </c>
      <c r="AA90" s="6">
        <f>Table5[[#This Row],[$PerTB]]/CompareWarrYrs</f>
        <v>6.5062600000000002</v>
      </c>
      <c r="AB90" s="44"/>
    </row>
    <row r="91" spans="1:28">
      <c r="A91" s="1">
        <v>43041</v>
      </c>
      <c r="B91" t="s">
        <v>6</v>
      </c>
      <c r="C91" s="117" t="s">
        <v>5</v>
      </c>
      <c r="D91" s="123" t="s">
        <v>134</v>
      </c>
      <c r="E91" s="100">
        <v>2.5</v>
      </c>
      <c r="F91" s="86">
        <v>1</v>
      </c>
      <c r="G91" s="46">
        <v>7200</v>
      </c>
      <c r="H91" s="5"/>
      <c r="I91" s="5"/>
      <c r="J91" s="65">
        <f>(Table5[[#This Row],[RPM]]/5400-1)</f>
        <v>0.33333333333333326</v>
      </c>
      <c r="K91" s="49"/>
      <c r="L91">
        <v>5</v>
      </c>
      <c r="M91" s="40">
        <v>600000</v>
      </c>
      <c r="O91" s="40"/>
      <c r="P91" s="39">
        <f t="shared" si="11"/>
        <v>100000000000000</v>
      </c>
      <c r="Q91" s="57">
        <f>1.1*5</f>
        <v>5.5</v>
      </c>
      <c r="R91" s="5">
        <v>1.8</v>
      </c>
      <c r="S91" s="5">
        <v>0.8</v>
      </c>
      <c r="T91" s="130">
        <v>0.2</v>
      </c>
      <c r="U91" s="134">
        <f>(((Table5[[#This Row],[Watts Active]]*Power_On_Hours_Year/1000)*Active_Duty_Cycle)+((Table5[[#This Row],[Watts Idle]]*Power_On_Hours_Year/1000)*(100%-Active_Duty_Cycle)))*CostPerKWH</f>
        <v>1.09572</v>
      </c>
      <c r="V91" s="202">
        <f>Table5[Energy$year]/Table5[[#This Row],[SizTB]]</f>
        <v>1.09572</v>
      </c>
      <c r="W91" s="200">
        <v>66.989999999999995</v>
      </c>
      <c r="X91" s="6">
        <f>Table5[[#This Row],[Cost]]/Table5[[#This Row],[SizTB]]*Exchange_Rate</f>
        <v>66.989999999999995</v>
      </c>
      <c r="Y91" s="206">
        <f>Table5[[#This Row],[Cost]]+((CompareWarrYrs-Table5[[#This Row],[S]])*(Incremental_Warr_Yr*Table5[[#This Row],[Cost]]))*Exchange_Rate</f>
        <v>66.989999999999995</v>
      </c>
      <c r="Z91" s="6">
        <f>Table5[[#This Row],[$+Warr]]/Table5[[#This Row],[SizTB]]</f>
        <v>66.989999999999995</v>
      </c>
      <c r="AA91" s="6">
        <f>Table5[[#This Row],[$PerTB]]/CompareWarrYrs</f>
        <v>13.398</v>
      </c>
      <c r="AB91" s="44"/>
    </row>
    <row r="92" spans="1:28">
      <c r="A92" s="1">
        <v>43060</v>
      </c>
      <c r="B92" t="s">
        <v>6</v>
      </c>
      <c r="C92" s="117" t="s">
        <v>5</v>
      </c>
      <c r="D92" s="129" t="s">
        <v>134</v>
      </c>
      <c r="E92" s="100">
        <v>3.5</v>
      </c>
      <c r="F92" s="86">
        <v>1</v>
      </c>
      <c r="G92" s="46">
        <v>7200</v>
      </c>
      <c r="H92" s="5"/>
      <c r="I92" s="5"/>
      <c r="J92" s="65">
        <f>(Table5[[#This Row],[RPM]]/5400-1)</f>
        <v>0.33333333333333326</v>
      </c>
      <c r="K92" s="49">
        <v>150</v>
      </c>
      <c r="L92">
        <v>5</v>
      </c>
      <c r="M92" s="40">
        <v>300000</v>
      </c>
      <c r="O92" s="40"/>
      <c r="P92" s="39">
        <f t="shared" si="11"/>
        <v>100000000000000</v>
      </c>
      <c r="Q92" s="57"/>
      <c r="R92" s="5">
        <v>6.8</v>
      </c>
      <c r="S92" s="5">
        <v>6.1</v>
      </c>
      <c r="T92" s="130">
        <v>0.8</v>
      </c>
      <c r="U92" s="134">
        <f>(((Table5[[#This Row],[Watts Active]]*Power_On_Hours_Year/1000)*Active_Duty_Cycle)+((Table5[[#This Row],[Watts Idle]]*Power_On_Hours_Year/1000)*(100%-Active_Duty_Cycle)))*CostPerKWH</f>
        <v>6.8372928000000002</v>
      </c>
      <c r="V92" s="202">
        <f>Table5[Energy$year]/Table5[[#This Row],[SizTB]]</f>
        <v>6.8372928000000002</v>
      </c>
      <c r="W92" s="201">
        <v>69.989999999999995</v>
      </c>
      <c r="X92" s="6">
        <f>Table5[[#This Row],[Cost]]/Table5[[#This Row],[SizTB]]*Exchange_Rate</f>
        <v>69.989999999999995</v>
      </c>
      <c r="Y92" s="206">
        <f>Table5[[#This Row],[Cost]]+((CompareWarrYrs-Table5[[#This Row],[S]])*(Incremental_Warr_Yr*Table5[[#This Row],[Cost]]))*Exchange_Rate</f>
        <v>69.989999999999995</v>
      </c>
      <c r="Z92" s="6">
        <f>Table5[[#This Row],[$+Warr]]/Table5[[#This Row],[SizTB]]</f>
        <v>69.989999999999995</v>
      </c>
      <c r="AA92" s="6">
        <f>Table5[[#This Row],[$PerTB]]/CompareWarrYrs</f>
        <v>13.997999999999999</v>
      </c>
      <c r="AB92" s="44"/>
    </row>
    <row r="93" spans="1:28">
      <c r="A93" s="1">
        <v>43053</v>
      </c>
      <c r="B93" t="s">
        <v>6</v>
      </c>
      <c r="C93" s="117" t="s">
        <v>5</v>
      </c>
      <c r="D93" s="129" t="s">
        <v>134</v>
      </c>
      <c r="E93" s="100">
        <v>3.5</v>
      </c>
      <c r="F93" s="86">
        <v>2</v>
      </c>
      <c r="G93" s="46">
        <v>7200</v>
      </c>
      <c r="H93" s="5"/>
      <c r="I93" s="5"/>
      <c r="J93" s="65">
        <f>(Table5[[#This Row],[RPM]]/5400-1)</f>
        <v>0.33333333333333326</v>
      </c>
      <c r="K93" s="49">
        <v>164</v>
      </c>
      <c r="L93">
        <v>5</v>
      </c>
      <c r="M93" s="40">
        <v>300000</v>
      </c>
      <c r="O93" s="40"/>
      <c r="P93" s="39">
        <f t="shared" si="11"/>
        <v>100000000000000</v>
      </c>
      <c r="Q93" s="57"/>
      <c r="R93" s="5">
        <v>9.5</v>
      </c>
      <c r="S93" s="5">
        <v>8.1</v>
      </c>
      <c r="T93" s="130">
        <v>1.3</v>
      </c>
      <c r="U93" s="134">
        <f>(((Table5[[#This Row],[Watts Active]]*Power_On_Hours_Year/1000)*Active_Duty_Cycle)+((Table5[[#This Row],[Watts Idle]]*Power_On_Hours_Year/1000)*(100%-Active_Duty_Cycle)))*CostPerKWH</f>
        <v>9.1821336000000002</v>
      </c>
      <c r="V93" s="202">
        <f>Table5[Energy$year]/Table5[[#This Row],[SizTB]]</f>
        <v>4.5910668000000001</v>
      </c>
      <c r="W93" s="201">
        <v>124.99</v>
      </c>
      <c r="X93" s="6">
        <f>Table5[[#This Row],[Cost]]/Table5[[#This Row],[SizTB]]*Exchange_Rate</f>
        <v>62.494999999999997</v>
      </c>
      <c r="Y93" s="206">
        <f>Table5[[#This Row],[Cost]]+((CompareWarrYrs-Table5[[#This Row],[S]])*(Incremental_Warr_Yr*Table5[[#This Row],[Cost]]))*Exchange_Rate</f>
        <v>124.99</v>
      </c>
      <c r="Z93" s="6">
        <f>Table5[[#This Row],[$+Warr]]/Table5[[#This Row],[SizTB]]</f>
        <v>62.494999999999997</v>
      </c>
      <c r="AA93" s="6">
        <f>Table5[[#This Row],[$PerTB]]/CompareWarrYrs</f>
        <v>12.498999999999999</v>
      </c>
      <c r="AB93" s="44"/>
    </row>
    <row r="94" spans="1:28">
      <c r="A94" s="1">
        <v>43053</v>
      </c>
      <c r="B94" t="s">
        <v>6</v>
      </c>
      <c r="C94" s="117" t="s">
        <v>5</v>
      </c>
      <c r="D94" s="129" t="s">
        <v>134</v>
      </c>
      <c r="E94" s="100">
        <v>3.5</v>
      </c>
      <c r="F94" s="86">
        <v>4</v>
      </c>
      <c r="G94" s="46">
        <v>7200</v>
      </c>
      <c r="H94" s="5"/>
      <c r="I94" s="5"/>
      <c r="J94" s="65">
        <f>(Table5[[#This Row],[RPM]]/5400-1)</f>
        <v>0.33333333333333326</v>
      </c>
      <c r="K94" s="49">
        <v>202</v>
      </c>
      <c r="L94">
        <v>5</v>
      </c>
      <c r="M94" s="40">
        <v>300000</v>
      </c>
      <c r="O94" s="40"/>
      <c r="P94" s="39">
        <f t="shared" si="11"/>
        <v>100000000000000</v>
      </c>
      <c r="Q94" s="57"/>
      <c r="R94" s="5">
        <v>9.1</v>
      </c>
      <c r="S94" s="5">
        <v>5.8</v>
      </c>
      <c r="T94" s="130">
        <v>1</v>
      </c>
      <c r="U94" s="134">
        <f>(((Table5[[#This Row],[Watts Active]]*Power_On_Hours_Year/1000)*Active_Duty_Cycle)+((Table5[[#This Row],[Watts Idle]]*Power_On_Hours_Year/1000)*(100%-Active_Duty_Cycle)))*CostPerKWH</f>
        <v>7.0783512000000002</v>
      </c>
      <c r="V94" s="202">
        <f>Table5[Energy$year]/Table5[[#This Row],[SizTB]]</f>
        <v>1.7695878</v>
      </c>
      <c r="W94" s="201">
        <v>184.99</v>
      </c>
      <c r="X94" s="6">
        <f>Table5[[#This Row],[Cost]]/Table5[[#This Row],[SizTB]]*Exchange_Rate</f>
        <v>46.247500000000002</v>
      </c>
      <c r="Y94" s="206">
        <f>Table5[[#This Row],[Cost]]+((CompareWarrYrs-Table5[[#This Row],[S]])*(Incremental_Warr_Yr*Table5[[#This Row],[Cost]]))*Exchange_Rate</f>
        <v>184.99</v>
      </c>
      <c r="Z94" s="6">
        <f>Table5[[#This Row],[$+Warr]]/Table5[[#This Row],[SizTB]]</f>
        <v>46.247500000000002</v>
      </c>
      <c r="AA94" s="6">
        <f>Table5[[#This Row],[$PerTB]]/CompareWarrYrs</f>
        <v>9.2495000000000012</v>
      </c>
      <c r="AB94" s="44"/>
    </row>
    <row r="95" spans="1:28">
      <c r="A95" s="1">
        <v>43053</v>
      </c>
      <c r="B95" t="s">
        <v>6</v>
      </c>
      <c r="C95" s="117" t="s">
        <v>5</v>
      </c>
      <c r="D95" s="129" t="s">
        <v>134</v>
      </c>
      <c r="E95" s="100">
        <v>3.5</v>
      </c>
      <c r="F95" s="86">
        <v>6</v>
      </c>
      <c r="G95" s="46">
        <v>7200</v>
      </c>
      <c r="H95" s="5"/>
      <c r="I95" s="5"/>
      <c r="J95" s="65">
        <f>(Table5[[#This Row],[RPM]]/5400-1)</f>
        <v>0.33333333333333326</v>
      </c>
      <c r="K95" s="49">
        <v>227</v>
      </c>
      <c r="L95">
        <v>5</v>
      </c>
      <c r="M95" s="40">
        <v>300000</v>
      </c>
      <c r="O95" s="40"/>
      <c r="P95" s="39">
        <f t="shared" si="11"/>
        <v>100000000000000</v>
      </c>
      <c r="Q95" s="57"/>
      <c r="R95" s="5">
        <v>9.1</v>
      </c>
      <c r="S95" s="5">
        <v>7.1</v>
      </c>
      <c r="T95" s="130">
        <v>1</v>
      </c>
      <c r="U95" s="134">
        <f>(((Table5[[#This Row],[Watts Active]]*Power_On_Hours_Year/1000)*Active_Duty_Cycle)+((Table5[[#This Row],[Watts Idle]]*Power_On_Hours_Year/1000)*(100%-Active_Duty_Cycle)))*CostPerKWH</f>
        <v>8.2179000000000002</v>
      </c>
      <c r="V95" s="202">
        <f>Table5[Energy$year]/Table5[[#This Row],[SizTB]]</f>
        <v>1.36965</v>
      </c>
      <c r="W95" s="201">
        <v>199.99</v>
      </c>
      <c r="X95" s="6">
        <f>Table5[[#This Row],[Cost]]/Table5[[#This Row],[SizTB]]*Exchange_Rate</f>
        <v>33.331666666666671</v>
      </c>
      <c r="Y95" s="206">
        <f>Table5[[#This Row],[Cost]]+((CompareWarrYrs-Table5[[#This Row],[S]])*(Incremental_Warr_Yr*Table5[[#This Row],[Cost]]))*Exchange_Rate</f>
        <v>199.99</v>
      </c>
      <c r="Z95" s="6">
        <f>Table5[[#This Row],[$+Warr]]/Table5[[#This Row],[SizTB]]</f>
        <v>33.331666666666671</v>
      </c>
      <c r="AA95" s="6">
        <f>Table5[[#This Row],[$PerTB]]/CompareWarrYrs</f>
        <v>6.6663333333333341</v>
      </c>
      <c r="AB95" s="44"/>
    </row>
    <row r="96" spans="1:28">
      <c r="A96" s="1">
        <v>43046</v>
      </c>
      <c r="B96" t="s">
        <v>6</v>
      </c>
      <c r="C96" s="117" t="s">
        <v>28</v>
      </c>
      <c r="D96" s="129" t="s">
        <v>134</v>
      </c>
      <c r="E96" s="100">
        <v>3.5</v>
      </c>
      <c r="F96" s="86">
        <v>1</v>
      </c>
      <c r="G96" s="46">
        <v>5400</v>
      </c>
      <c r="H96" s="5"/>
      <c r="I96" s="5"/>
      <c r="J96" s="65">
        <f>(Table5[[#This Row],[RPM]]/5400-1)</f>
        <v>0</v>
      </c>
      <c r="K96" s="49">
        <v>150</v>
      </c>
      <c r="L96">
        <v>2</v>
      </c>
      <c r="M96" s="40">
        <v>300000</v>
      </c>
      <c r="O96" s="40"/>
      <c r="P96" s="39">
        <f t="shared" ref="P96:P102" si="12">10^14</f>
        <v>100000000000000</v>
      </c>
      <c r="Q96" s="57"/>
      <c r="R96" s="5"/>
      <c r="S96" s="5"/>
      <c r="T96" s="130"/>
      <c r="U96" s="134"/>
      <c r="V96" s="202"/>
      <c r="W96" s="201">
        <v>44.99</v>
      </c>
      <c r="X96" s="6">
        <f>Table5[[#This Row],[Cost]]/Table5[[#This Row],[SizTB]]*Exchange_Rate</f>
        <v>44.99</v>
      </c>
      <c r="Y96" s="206">
        <f>Table5[[#This Row],[Cost]]+((CompareWarrYrs-Table5[[#This Row],[S]])*(Incremental_Warr_Yr*Table5[[#This Row],[Cost]]))*Exchange_Rate</f>
        <v>59.8367</v>
      </c>
      <c r="Z96" s="6">
        <f>Table5[[#This Row],[$+Warr]]/Table5[[#This Row],[SizTB]]</f>
        <v>59.8367</v>
      </c>
      <c r="AA96" s="6">
        <f>Table5[[#This Row],[$PerTB]]/CompareWarrYrs</f>
        <v>11.96734</v>
      </c>
      <c r="AB96" s="44"/>
    </row>
    <row r="97" spans="1:28">
      <c r="A97" s="1">
        <v>43043</v>
      </c>
      <c r="B97" t="s">
        <v>6</v>
      </c>
      <c r="C97" s="117" t="s">
        <v>28</v>
      </c>
      <c r="D97" s="129" t="s">
        <v>134</v>
      </c>
      <c r="E97" s="100">
        <v>3.5</v>
      </c>
      <c r="F97" s="86">
        <v>2</v>
      </c>
      <c r="G97" s="46">
        <v>5400</v>
      </c>
      <c r="H97" s="5"/>
      <c r="I97" s="5"/>
      <c r="J97" s="65">
        <f>(Table5[[#This Row],[RPM]]/5400-1)</f>
        <v>0</v>
      </c>
      <c r="K97" s="49">
        <v>147</v>
      </c>
      <c r="L97">
        <v>2</v>
      </c>
      <c r="M97" s="40">
        <v>300000</v>
      </c>
      <c r="O97" s="40"/>
      <c r="P97" s="39">
        <f t="shared" si="12"/>
        <v>100000000000000</v>
      </c>
      <c r="Q97" s="57">
        <f>12*1.73</f>
        <v>20.759999999999998</v>
      </c>
      <c r="R97" s="5">
        <v>4.0999999999999996</v>
      </c>
      <c r="S97" s="5">
        <v>3</v>
      </c>
      <c r="T97" s="130">
        <v>0.4</v>
      </c>
      <c r="U97" s="134">
        <f>(((Table5[[#This Row],[Watts Active]]*Power_On_Hours_Year/1000)*Active_Duty_Cycle)+((Table5[[#This Row],[Watts Idle]]*Power_On_Hours_Year/1000)*(100%-Active_Duty_Cycle)))*CostPerKWH</f>
        <v>3.5282184000000001</v>
      </c>
      <c r="V97" s="202">
        <f>Table5[Energy$year]/Table5[[#This Row],[SizTB]]</f>
        <v>1.7641092</v>
      </c>
      <c r="W97" s="200">
        <v>59.99</v>
      </c>
      <c r="X97" s="6">
        <f>Table5[[#This Row],[Cost]]/Table5[[#This Row],[SizTB]]*Exchange_Rate</f>
        <v>29.995000000000001</v>
      </c>
      <c r="Y97" s="206">
        <f>Table5[[#This Row],[Cost]]+((CompareWarrYrs-Table5[[#This Row],[S]])*(Incremental_Warr_Yr*Table5[[#This Row],[Cost]]))*Exchange_Rate</f>
        <v>79.786699999999996</v>
      </c>
      <c r="Z97" s="6">
        <f>Table5[[#This Row],[$+Warr]]/Table5[[#This Row],[SizTB]]</f>
        <v>39.893349999999998</v>
      </c>
      <c r="AA97" s="6">
        <f>Table5[[#This Row],[$PerTB]]/CompareWarrYrs</f>
        <v>7.9786699999999993</v>
      </c>
      <c r="AB97" s="44"/>
    </row>
    <row r="98" spans="1:28">
      <c r="A98" s="1">
        <v>43033</v>
      </c>
      <c r="B98" t="s">
        <v>6</v>
      </c>
      <c r="C98" s="117" t="s">
        <v>28</v>
      </c>
      <c r="D98" s="129" t="s">
        <v>134</v>
      </c>
      <c r="E98" s="100">
        <v>3.5</v>
      </c>
      <c r="F98" s="86">
        <v>3</v>
      </c>
      <c r="G98" s="46">
        <v>5400</v>
      </c>
      <c r="H98" s="5"/>
      <c r="I98" s="5"/>
      <c r="J98" s="65">
        <f>(Table5[[#This Row],[RPM]]/5400-1)</f>
        <v>0</v>
      </c>
      <c r="K98" s="49">
        <v>147</v>
      </c>
      <c r="L98">
        <v>2</v>
      </c>
      <c r="M98" s="40">
        <v>300000</v>
      </c>
      <c r="O98" s="40"/>
      <c r="P98" s="39">
        <f t="shared" si="12"/>
        <v>100000000000000</v>
      </c>
      <c r="Q98" s="57">
        <f>12*1.73</f>
        <v>20.759999999999998</v>
      </c>
      <c r="R98" s="5">
        <v>4.0999999999999996</v>
      </c>
      <c r="S98" s="5">
        <v>3</v>
      </c>
      <c r="T98" s="130">
        <v>0.4</v>
      </c>
      <c r="U98" s="134">
        <f>(((Table5[[#This Row],[Watts Active]]*Power_On_Hours_Year/1000)*Active_Duty_Cycle)+((Table5[[#This Row],[Watts Idle]]*Power_On_Hours_Year/1000)*(100%-Active_Duty_Cycle)))*CostPerKWH</f>
        <v>3.5282184000000001</v>
      </c>
      <c r="V98" s="202">
        <f>Table5[Energy$year]/Table5[[#This Row],[SizTB]]</f>
        <v>1.1760728</v>
      </c>
      <c r="W98" s="200">
        <v>79.989999999999995</v>
      </c>
      <c r="X98" s="6">
        <f>Table5[[#This Row],[Cost]]/Table5[[#This Row],[SizTB]]*Exchange_Rate</f>
        <v>26.66333333333333</v>
      </c>
      <c r="Y98" s="206">
        <f>Table5[[#This Row],[Cost]]+((CompareWarrYrs-Table5[[#This Row],[S]])*(Incremental_Warr_Yr*Table5[[#This Row],[Cost]]))*Exchange_Rate</f>
        <v>106.38669999999999</v>
      </c>
      <c r="Z98" s="6">
        <f>Table5[[#This Row],[$+Warr]]/Table5[[#This Row],[SizTB]]</f>
        <v>35.46223333333333</v>
      </c>
      <c r="AA98" s="6">
        <f>Table5[[#This Row],[$PerTB]]/CompareWarrYrs</f>
        <v>7.0924466666666657</v>
      </c>
      <c r="AB98" s="44"/>
    </row>
    <row r="99" spans="1:28">
      <c r="A99" s="1">
        <v>43053</v>
      </c>
      <c r="B99" t="s">
        <v>6</v>
      </c>
      <c r="C99" s="117" t="s">
        <v>28</v>
      </c>
      <c r="D99" s="129" t="s">
        <v>134</v>
      </c>
      <c r="E99" s="100">
        <v>3.5</v>
      </c>
      <c r="F99" s="86">
        <v>4</v>
      </c>
      <c r="G99" s="46">
        <v>5400</v>
      </c>
      <c r="H99" s="5"/>
      <c r="I99" s="5"/>
      <c r="J99" s="65">
        <f>(Table5[[#This Row],[RPM]]/5400-1)</f>
        <v>0</v>
      </c>
      <c r="K99" s="49">
        <v>150</v>
      </c>
      <c r="L99">
        <v>2</v>
      </c>
      <c r="M99" s="40">
        <v>300000</v>
      </c>
      <c r="O99" s="40"/>
      <c r="P99" s="39">
        <f t="shared" si="12"/>
        <v>100000000000000</v>
      </c>
      <c r="Q99" s="57">
        <f>12*1.75</f>
        <v>21</v>
      </c>
      <c r="R99" s="5">
        <v>5.3</v>
      </c>
      <c r="S99" s="5">
        <v>3.4</v>
      </c>
      <c r="T99" s="130">
        <v>0.4</v>
      </c>
      <c r="U99" s="134">
        <f>(((Table5[[#This Row],[Watts Active]]*Power_On_Hours_Year/1000)*Active_Duty_Cycle)+((Table5[[#This Row],[Watts Idle]]*Power_On_Hours_Year/1000)*(100%-Active_Duty_Cycle)))*CostPerKWH</f>
        <v>4.1418216000000001</v>
      </c>
      <c r="V99" s="202">
        <f>Table5[Energy$year]/Table5[[#This Row],[SizTB]]</f>
        <v>1.0354554</v>
      </c>
      <c r="W99" s="200">
        <v>99.99</v>
      </c>
      <c r="X99" s="6">
        <f>Table5[[#This Row],[Cost]]/Table5[[#This Row],[SizTB]]*Exchange_Rate</f>
        <v>24.997499999999999</v>
      </c>
      <c r="Y99" s="206">
        <f>Table5[[#This Row],[Cost]]+((CompareWarrYrs-Table5[[#This Row],[S]])*(Incremental_Warr_Yr*Table5[[#This Row],[Cost]]))*Exchange_Rate</f>
        <v>132.98669999999998</v>
      </c>
      <c r="Z99" s="6">
        <f>Table5[[#This Row],[$+Warr]]/Table5[[#This Row],[SizTB]]</f>
        <v>33.246674999999996</v>
      </c>
      <c r="AA99" s="6">
        <f>Table5[[#This Row],[$PerTB]]/CompareWarrYrs</f>
        <v>6.6493349999999989</v>
      </c>
      <c r="AB99" s="44"/>
    </row>
    <row r="100" spans="1:28">
      <c r="A100" s="1">
        <v>43019</v>
      </c>
      <c r="B100" t="s">
        <v>6</v>
      </c>
      <c r="C100" s="117" t="s">
        <v>28</v>
      </c>
      <c r="D100" s="129" t="s">
        <v>134</v>
      </c>
      <c r="E100" s="100">
        <v>3.5</v>
      </c>
      <c r="F100" s="86">
        <v>6</v>
      </c>
      <c r="G100" s="46">
        <v>5400</v>
      </c>
      <c r="H100" s="5"/>
      <c r="I100" s="5"/>
      <c r="J100" s="65">
        <f>(Table5[[#This Row],[RPM]]/5400-1)</f>
        <v>0</v>
      </c>
      <c r="K100" s="49">
        <v>175</v>
      </c>
      <c r="L100">
        <v>2</v>
      </c>
      <c r="M100" s="40">
        <v>300000</v>
      </c>
      <c r="O100" s="40"/>
      <c r="P100" s="39">
        <f t="shared" si="12"/>
        <v>100000000000000</v>
      </c>
      <c r="Q100" s="57">
        <f>12*1.75</f>
        <v>21</v>
      </c>
      <c r="R100" s="5">
        <v>5.3</v>
      </c>
      <c r="S100" s="5">
        <v>3.4</v>
      </c>
      <c r="T100" s="130">
        <v>0.4</v>
      </c>
      <c r="U100" s="134">
        <f>(((Table5[[#This Row],[Watts Active]]*Power_On_Hours_Year/1000)*Active_Duty_Cycle)+((Table5[[#This Row],[Watts Idle]]*Power_On_Hours_Year/1000)*(100%-Active_Duty_Cycle)))*CostPerKWH</f>
        <v>4.1418216000000001</v>
      </c>
      <c r="V100" s="202">
        <f>Table5[Energy$year]/Table5[[#This Row],[SizTB]]</f>
        <v>0.69030360000000002</v>
      </c>
      <c r="W100" s="200">
        <v>196.99</v>
      </c>
      <c r="X100" s="6">
        <f>Table5[[#This Row],[Cost]]/Table5[[#This Row],[SizTB]]*Exchange_Rate</f>
        <v>32.831666666666671</v>
      </c>
      <c r="Y100" s="206">
        <f>Table5[[#This Row],[Cost]]+((CompareWarrYrs-Table5[[#This Row],[S]])*(Incremental_Warr_Yr*Table5[[#This Row],[Cost]]))*Exchange_Rate</f>
        <v>261.99670000000003</v>
      </c>
      <c r="Z100" s="6">
        <f>Table5[[#This Row],[$+Warr]]/Table5[[#This Row],[SizTB]]</f>
        <v>43.666116666666674</v>
      </c>
      <c r="AA100" s="6">
        <f>Table5[[#This Row],[$PerTB]]/CompareWarrYrs</f>
        <v>8.7332233333333349</v>
      </c>
      <c r="AB100" s="44"/>
    </row>
    <row r="101" spans="1:28">
      <c r="A101" s="1">
        <v>43053</v>
      </c>
      <c r="B101" t="s">
        <v>6</v>
      </c>
      <c r="C101" s="117" t="s">
        <v>28</v>
      </c>
      <c r="D101" s="129" t="s">
        <v>134</v>
      </c>
      <c r="E101" s="100">
        <v>2.5</v>
      </c>
      <c r="F101" s="86">
        <v>1</v>
      </c>
      <c r="G101" s="46">
        <v>5400</v>
      </c>
      <c r="H101" s="5"/>
      <c r="I101" s="5"/>
      <c r="J101" s="65">
        <f>(Table5[[#This Row],[RPM]]/5400-1)</f>
        <v>0</v>
      </c>
      <c r="K101" s="49"/>
      <c r="L101">
        <v>2</v>
      </c>
      <c r="M101" s="40">
        <v>600000</v>
      </c>
      <c r="O101" s="40"/>
      <c r="P101" s="39">
        <f t="shared" si="12"/>
        <v>100000000000000</v>
      </c>
      <c r="Q101" s="57">
        <v>5</v>
      </c>
      <c r="R101" s="5">
        <v>1.5</v>
      </c>
      <c r="S101" s="5">
        <v>0.5</v>
      </c>
      <c r="T101" s="130">
        <v>0.1</v>
      </c>
      <c r="U101" s="134">
        <f>(((Table5[[#This Row],[Watts Active]]*Power_On_Hours_Year/1000)*Active_Duty_Cycle)+((Table5[[#This Row],[Watts Idle]]*Power_On_Hours_Year/1000)*(100%-Active_Duty_Cycle)))*CostPerKWH</f>
        <v>0.76700400000000002</v>
      </c>
      <c r="V101" s="202">
        <f>Table5[Energy$year]/Table5[[#This Row],[SizTB]]</f>
        <v>0.76700400000000002</v>
      </c>
      <c r="W101" s="201">
        <v>55.99</v>
      </c>
      <c r="X101" s="6">
        <f>Table5[[#This Row],[Cost]]/Table5[[#This Row],[SizTB]]*Exchange_Rate</f>
        <v>55.99</v>
      </c>
      <c r="Y101" s="206">
        <f>Table5[[#This Row],[Cost]]+((CompareWarrYrs-Table5[[#This Row],[S]])*(Incremental_Warr_Yr*Table5[[#This Row],[Cost]]))*Exchange_Rate</f>
        <v>74.466700000000003</v>
      </c>
      <c r="Z101" s="6">
        <f>Table5[[#This Row],[$+Warr]]/Table5[[#This Row],[SizTB]]</f>
        <v>74.466700000000003</v>
      </c>
      <c r="AA101" s="6">
        <f>Table5[[#This Row],[$PerTB]]/CompareWarrYrs</f>
        <v>14.89334</v>
      </c>
      <c r="AB101" s="44"/>
    </row>
    <row r="102" spans="1:28">
      <c r="A102" s="1">
        <v>43053</v>
      </c>
      <c r="B102" t="s">
        <v>6</v>
      </c>
      <c r="C102" s="117" t="s">
        <v>28</v>
      </c>
      <c r="D102" s="129" t="s">
        <v>134</v>
      </c>
      <c r="E102" s="100">
        <v>2.5</v>
      </c>
      <c r="F102" s="86">
        <v>2</v>
      </c>
      <c r="G102" s="46">
        <v>5400</v>
      </c>
      <c r="H102" s="5"/>
      <c r="I102" s="5"/>
      <c r="J102" s="65">
        <f>(Table5[[#This Row],[RPM]]/5400-1)</f>
        <v>0</v>
      </c>
      <c r="K102" s="49"/>
      <c r="L102">
        <v>2</v>
      </c>
      <c r="M102" s="40">
        <v>600000</v>
      </c>
      <c r="O102" s="40"/>
      <c r="P102" s="39">
        <f t="shared" si="12"/>
        <v>100000000000000</v>
      </c>
      <c r="Q102" s="57">
        <v>5</v>
      </c>
      <c r="R102" s="5">
        <v>1.7</v>
      </c>
      <c r="S102" s="5">
        <v>0.8</v>
      </c>
      <c r="T102" s="130">
        <v>0.2</v>
      </c>
      <c r="U102" s="134">
        <f>(((Table5[[#This Row],[Watts Active]]*Power_On_Hours_Year/1000)*Active_Duty_Cycle)+((Table5[[#This Row],[Watts Idle]]*Power_On_Hours_Year/1000)*(100%-Active_Duty_Cycle)))*CostPerKWH</f>
        <v>1.0738056</v>
      </c>
      <c r="V102" s="202">
        <f>Table5[Energy$year]/Table5[[#This Row],[SizTB]]</f>
        <v>0.53690280000000001</v>
      </c>
      <c r="W102" s="201">
        <v>141.82</v>
      </c>
      <c r="X102" s="6">
        <f>Table5[[#This Row],[Cost]]/Table5[[#This Row],[SizTB]]*Exchange_Rate</f>
        <v>70.91</v>
      </c>
      <c r="Y102" s="206">
        <f>Table5[[#This Row],[Cost]]+((CompareWarrYrs-Table5[[#This Row],[S]])*(Incremental_Warr_Yr*Table5[[#This Row],[Cost]]))*Exchange_Rate</f>
        <v>188.6206</v>
      </c>
      <c r="Z102" s="6">
        <f>Table5[[#This Row],[$+Warr]]/Table5[[#This Row],[SizTB]]</f>
        <v>94.310299999999998</v>
      </c>
      <c r="AA102" s="6">
        <f>Table5[[#This Row],[$PerTB]]/CompareWarrYrs</f>
        <v>18.86206</v>
      </c>
      <c r="AB102" s="44"/>
    </row>
    <row r="103" spans="1:28">
      <c r="A103" s="1">
        <v>43055</v>
      </c>
      <c r="B103" t="s">
        <v>6</v>
      </c>
      <c r="C103" s="117" t="s">
        <v>58</v>
      </c>
      <c r="D103" s="31" t="s">
        <v>50</v>
      </c>
      <c r="E103" s="100">
        <v>3.5</v>
      </c>
      <c r="F103" s="86">
        <v>1</v>
      </c>
      <c r="G103" s="46">
        <v>7200</v>
      </c>
      <c r="H103" s="5"/>
      <c r="I103" s="5"/>
      <c r="J103" s="65">
        <f>(Table5[[#This Row],[RPM]]/5400-1)</f>
        <v>0.33333333333333326</v>
      </c>
      <c r="K103" s="49">
        <v>184</v>
      </c>
      <c r="L103">
        <v>5</v>
      </c>
      <c r="M103" s="40">
        <v>600000</v>
      </c>
      <c r="N103">
        <v>550</v>
      </c>
      <c r="O103" s="40">
        <v>2000000</v>
      </c>
      <c r="P103" s="39">
        <v>1000000000000000</v>
      </c>
      <c r="Q103" s="57"/>
      <c r="R103" s="5">
        <v>8.1</v>
      </c>
      <c r="S103" s="5">
        <v>5.9</v>
      </c>
      <c r="T103" s="130"/>
      <c r="U103" s="134">
        <f>(((Table5[[#This Row],[Watts Active]]*Power_On_Hours_Year/1000)*Active_Duty_Cycle)+((Table5[[#This Row],[Watts Idle]]*Power_On_Hours_Year/1000)*(100%-Active_Duty_Cycle)))*CostPerKWH</f>
        <v>6.9468648000000002</v>
      </c>
      <c r="V103" s="202">
        <f>Table5[Energy$year]/Table5[[#This Row],[SizTB]]</f>
        <v>6.9468648000000002</v>
      </c>
      <c r="W103" s="201">
        <v>84.99</v>
      </c>
      <c r="X103" s="6">
        <f>Table5[[#This Row],[Cost]]/Table5[[#This Row],[SizTB]]*Exchange_Rate</f>
        <v>84.99</v>
      </c>
      <c r="Y103" s="206">
        <f>Table5[[#This Row],[Cost]]+((CompareWarrYrs-Table5[[#This Row],[S]])*(Incremental_Warr_Yr*Table5[[#This Row],[Cost]]))*Exchange_Rate</f>
        <v>84.99</v>
      </c>
      <c r="Z103" s="6">
        <f>Table5[[#This Row],[$+Warr]]/Table5[[#This Row],[SizTB]]</f>
        <v>84.99</v>
      </c>
      <c r="AA103" s="6">
        <f>Table5[[#This Row],[$PerTB]]/CompareWarrYrs</f>
        <v>16.997999999999998</v>
      </c>
      <c r="AB103" s="44"/>
    </row>
    <row r="104" spans="1:28">
      <c r="A104" s="1">
        <v>43061</v>
      </c>
      <c r="B104" t="s">
        <v>6</v>
      </c>
      <c r="C104" s="117" t="s">
        <v>58</v>
      </c>
      <c r="D104" s="31" t="s">
        <v>50</v>
      </c>
      <c r="E104" s="100">
        <v>3.5</v>
      </c>
      <c r="F104" s="86">
        <v>2</v>
      </c>
      <c r="G104" s="46">
        <v>7200</v>
      </c>
      <c r="H104" s="5"/>
      <c r="I104" s="5"/>
      <c r="J104" s="65">
        <f>(Table5[[#This Row],[RPM]]/5400-1)</f>
        <v>0.33333333333333326</v>
      </c>
      <c r="K104" s="49">
        <v>200</v>
      </c>
      <c r="L104">
        <v>5</v>
      </c>
      <c r="M104" s="40">
        <v>600000</v>
      </c>
      <c r="N104">
        <v>550</v>
      </c>
      <c r="O104" s="40">
        <v>2000000</v>
      </c>
      <c r="P104" s="39">
        <v>1000000000000000</v>
      </c>
      <c r="Q104" s="57"/>
      <c r="R104" s="5">
        <v>8.1</v>
      </c>
      <c r="S104" s="5">
        <v>5.9</v>
      </c>
      <c r="T104" s="130"/>
      <c r="U104" s="134">
        <f>(((Table5[[#This Row],[Watts Active]]*Power_On_Hours_Year/1000)*Active_Duty_Cycle)+((Table5[[#This Row],[Watts Idle]]*Power_On_Hours_Year/1000)*(100%-Active_Duty_Cycle)))*CostPerKWH</f>
        <v>6.9468648000000002</v>
      </c>
      <c r="V104" s="202">
        <f>Table5[Energy$year]/Table5[[#This Row],[SizTB]]</f>
        <v>3.4734324000000001</v>
      </c>
      <c r="W104" s="201">
        <v>119.99</v>
      </c>
      <c r="X104" s="6">
        <f>Table5[[#This Row],[Cost]]/Table5[[#This Row],[SizTB]]*Exchange_Rate</f>
        <v>59.994999999999997</v>
      </c>
      <c r="Y104" s="206">
        <f>Table5[[#This Row],[Cost]]+((CompareWarrYrs-Table5[[#This Row],[S]])*(Incremental_Warr_Yr*Table5[[#This Row],[Cost]]))*Exchange_Rate</f>
        <v>119.99</v>
      </c>
      <c r="Z104" s="6">
        <f>Table5[[#This Row],[$+Warr]]/Table5[[#This Row],[SizTB]]</f>
        <v>59.994999999999997</v>
      </c>
      <c r="AA104" s="6">
        <f>Table5[[#This Row],[$PerTB]]/CompareWarrYrs</f>
        <v>11.998999999999999</v>
      </c>
      <c r="AB104" s="44"/>
    </row>
    <row r="105" spans="1:28">
      <c r="A105" s="1">
        <v>43055</v>
      </c>
      <c r="B105" t="s">
        <v>6</v>
      </c>
      <c r="C105" s="117" t="s">
        <v>58</v>
      </c>
      <c r="D105" s="31" t="s">
        <v>50</v>
      </c>
      <c r="E105" s="100">
        <v>3.5</v>
      </c>
      <c r="F105" s="86">
        <v>4</v>
      </c>
      <c r="G105" s="46">
        <v>7200</v>
      </c>
      <c r="H105" s="5"/>
      <c r="I105" s="5"/>
      <c r="J105" s="65">
        <f>(Table5[[#This Row],[RPM]]/5400-1)</f>
        <v>0.33333333333333326</v>
      </c>
      <c r="K105" s="49">
        <v>201</v>
      </c>
      <c r="L105">
        <v>5</v>
      </c>
      <c r="M105" s="40">
        <v>600000</v>
      </c>
      <c r="N105">
        <v>550</v>
      </c>
      <c r="O105" s="40">
        <v>2000000</v>
      </c>
      <c r="P105" s="39">
        <v>1000000000000000</v>
      </c>
      <c r="Q105" s="57"/>
      <c r="R105" s="5">
        <v>9</v>
      </c>
      <c r="S105" s="5">
        <v>7</v>
      </c>
      <c r="T105" s="130"/>
      <c r="U105" s="134">
        <f>(((Table5[[#This Row],[Watts Active]]*Power_On_Hours_Year/1000)*Active_Duty_Cycle)+((Table5[[#This Row],[Watts Idle]]*Power_On_Hours_Year/1000)*(100%-Active_Duty_Cycle)))*CostPerKWH</f>
        <v>8.1083280000000002</v>
      </c>
      <c r="V105" s="202">
        <f>Table5[Energy$year]/Table5[[#This Row],[SizTB]]</f>
        <v>2.0270820000000001</v>
      </c>
      <c r="W105" s="201">
        <v>167.19</v>
      </c>
      <c r="X105" s="6">
        <f>Table5[[#This Row],[Cost]]/Table5[[#This Row],[SizTB]]*Exchange_Rate</f>
        <v>41.797499999999999</v>
      </c>
      <c r="Y105" s="206">
        <f>Table5[[#This Row],[Cost]]+((CompareWarrYrs-Table5[[#This Row],[S]])*(Incremental_Warr_Yr*Table5[[#This Row],[Cost]]))*Exchange_Rate</f>
        <v>167.19</v>
      </c>
      <c r="Z105" s="6">
        <f>Table5[[#This Row],[$+Warr]]/Table5[[#This Row],[SizTB]]</f>
        <v>41.797499999999999</v>
      </c>
      <c r="AA105" s="6">
        <f>Table5[[#This Row],[$PerTB]]/CompareWarrYrs</f>
        <v>8.3595000000000006</v>
      </c>
      <c r="AB105" s="124"/>
    </row>
    <row r="106" spans="1:28">
      <c r="A106" s="1">
        <v>43055</v>
      </c>
      <c r="B106" t="s">
        <v>6</v>
      </c>
      <c r="C106" s="117" t="s">
        <v>58</v>
      </c>
      <c r="D106" s="31" t="s">
        <v>50</v>
      </c>
      <c r="E106" s="100">
        <v>3.5</v>
      </c>
      <c r="F106" s="86">
        <v>6</v>
      </c>
      <c r="G106" s="46">
        <v>7200</v>
      </c>
      <c r="H106" s="5"/>
      <c r="I106" s="5"/>
      <c r="J106" s="65">
        <f>(Table5[[#This Row],[RPM]]/5400-1)</f>
        <v>0.33333333333333326</v>
      </c>
      <c r="K106" s="49">
        <v>226</v>
      </c>
      <c r="L106">
        <v>5</v>
      </c>
      <c r="M106" s="40">
        <v>600000</v>
      </c>
      <c r="N106">
        <v>550</v>
      </c>
      <c r="O106" s="40">
        <v>2000000</v>
      </c>
      <c r="P106" s="39">
        <v>1000000000000000</v>
      </c>
      <c r="Q106" s="57"/>
      <c r="R106" s="5">
        <v>9.3000000000000007</v>
      </c>
      <c r="S106" s="5">
        <v>7.1</v>
      </c>
      <c r="T106" s="130"/>
      <c r="U106" s="134">
        <f>(((Table5[[#This Row],[Watts Active]]*Power_On_Hours_Year/1000)*Active_Duty_Cycle)+((Table5[[#This Row],[Watts Idle]]*Power_On_Hours_Year/1000)*(100%-Active_Duty_Cycle)))*CostPerKWH</f>
        <v>8.2617288000000002</v>
      </c>
      <c r="V106" s="202">
        <f>Table5[Energy$year]/Table5[[#This Row],[SizTB]]</f>
        <v>1.3769548</v>
      </c>
      <c r="W106" s="201">
        <v>229.99</v>
      </c>
      <c r="X106" s="6">
        <f>Table5[[#This Row],[Cost]]/Table5[[#This Row],[SizTB]]*Exchange_Rate</f>
        <v>38.331666666666671</v>
      </c>
      <c r="Y106" s="206">
        <f>Table5[[#This Row],[Cost]]+((CompareWarrYrs-Table5[[#This Row],[S]])*(Incremental_Warr_Yr*Table5[[#This Row],[Cost]]))*Exchange_Rate</f>
        <v>229.99</v>
      </c>
      <c r="Z106" s="6">
        <f>Table5[[#This Row],[$+Warr]]/Table5[[#This Row],[SizTB]]</f>
        <v>38.331666666666671</v>
      </c>
      <c r="AA106" s="6">
        <f>Table5[[#This Row],[$PerTB]]/CompareWarrYrs</f>
        <v>7.6663333333333341</v>
      </c>
      <c r="AB106" s="124" t="s">
        <v>122</v>
      </c>
    </row>
    <row r="107" spans="1:28">
      <c r="A107" s="1">
        <v>43055</v>
      </c>
      <c r="B107" t="s">
        <v>6</v>
      </c>
      <c r="C107" s="117" t="s">
        <v>58</v>
      </c>
      <c r="D107" s="31" t="s">
        <v>50</v>
      </c>
      <c r="E107" s="100">
        <v>3.5</v>
      </c>
      <c r="F107" s="86">
        <v>8</v>
      </c>
      <c r="G107" s="46">
        <v>7200</v>
      </c>
      <c r="H107" s="5"/>
      <c r="I107" s="5"/>
      <c r="J107" s="65">
        <f>(Table5[[#This Row],[RPM]]/5400-1)</f>
        <v>0.33333333333333326</v>
      </c>
      <c r="K107" s="49">
        <v>205</v>
      </c>
      <c r="L107">
        <v>5</v>
      </c>
      <c r="M107" s="40">
        <v>600000</v>
      </c>
      <c r="N107">
        <v>550</v>
      </c>
      <c r="O107" s="40">
        <v>2500000</v>
      </c>
      <c r="P107" s="39">
        <v>1000000000000000</v>
      </c>
      <c r="Q107" s="57"/>
      <c r="R107" s="5">
        <v>7.2</v>
      </c>
      <c r="S107" s="5">
        <v>5.0999999999999996</v>
      </c>
      <c r="T107" s="130"/>
      <c r="U107" s="134">
        <f>(((Table5[[#This Row],[Watts Active]]*Power_On_Hours_Year/1000)*Active_Duty_Cycle)+((Table5[[#This Row],[Watts Idle]]*Power_On_Hours_Year/1000)*(100%-Active_Duty_Cycle)))*CostPerKWH</f>
        <v>6.0483743999999993</v>
      </c>
      <c r="V107" s="202">
        <f>Table5[Energy$year]/Table5[[#This Row],[SizTB]]</f>
        <v>0.75604679999999991</v>
      </c>
      <c r="W107" s="201">
        <v>289.99</v>
      </c>
      <c r="X107" s="6">
        <f>Table5[[#This Row],[Cost]]/Table5[[#This Row],[SizTB]]*Exchange_Rate</f>
        <v>36.248750000000001</v>
      </c>
      <c r="Y107" s="206">
        <f>Table5[[#This Row],[Cost]]+((CompareWarrYrs-Table5[[#This Row],[S]])*(Incremental_Warr_Yr*Table5[[#This Row],[Cost]]))*Exchange_Rate</f>
        <v>289.99</v>
      </c>
      <c r="Z107" s="6">
        <f>Table5[[#This Row],[$+Warr]]/Table5[[#This Row],[SizTB]]</f>
        <v>36.248750000000001</v>
      </c>
      <c r="AA107" s="6">
        <f>Table5[[#This Row],[$PerTB]]/CompareWarrYrs</f>
        <v>7.2497500000000006</v>
      </c>
      <c r="AB107" s="124" t="s">
        <v>38</v>
      </c>
    </row>
    <row r="108" spans="1:28">
      <c r="A108" s="1">
        <v>43055</v>
      </c>
      <c r="B108" t="s">
        <v>6</v>
      </c>
      <c r="C108" s="117" t="s">
        <v>58</v>
      </c>
      <c r="D108" s="31" t="s">
        <v>50</v>
      </c>
      <c r="E108" s="100">
        <v>3.5</v>
      </c>
      <c r="F108" s="86">
        <v>10</v>
      </c>
      <c r="G108" s="46">
        <v>7200</v>
      </c>
      <c r="H108" s="5"/>
      <c r="I108" s="5"/>
      <c r="J108" s="65">
        <f>(Table5[[#This Row],[RPM]]/5400-1)</f>
        <v>0.33333333333333326</v>
      </c>
      <c r="K108" s="49">
        <v>249</v>
      </c>
      <c r="L108">
        <v>5</v>
      </c>
      <c r="M108" s="40">
        <v>600000</v>
      </c>
      <c r="N108">
        <v>550</v>
      </c>
      <c r="O108" s="40">
        <v>2500000</v>
      </c>
      <c r="P108" s="39">
        <v>1000000000000000</v>
      </c>
      <c r="Q108" s="57"/>
      <c r="R108" s="5">
        <v>7.1</v>
      </c>
      <c r="S108" s="5">
        <v>5</v>
      </c>
      <c r="T108" s="130"/>
      <c r="U108" s="134">
        <f>(((Table5[[#This Row],[Watts Active]]*Power_On_Hours_Year/1000)*Active_Duty_Cycle)+((Table5[[#This Row],[Watts Idle]]*Power_On_Hours_Year/1000)*(100%-Active_Duty_Cycle)))*CostPerKWH</f>
        <v>5.9388024000000001</v>
      </c>
      <c r="V108" s="202">
        <f>Table5[Energy$year]/Table5[[#This Row],[SizTB]]</f>
        <v>0.59388024000000006</v>
      </c>
      <c r="W108" s="201">
        <v>339.99</v>
      </c>
      <c r="X108" s="6">
        <f>Table5[[#This Row],[Cost]]/Table5[[#This Row],[SizTB]]*Exchange_Rate</f>
        <v>33.999000000000002</v>
      </c>
      <c r="Y108" s="206">
        <f>Table5[[#This Row],[Cost]]+((CompareWarrYrs-Table5[[#This Row],[S]])*(Incremental_Warr_Yr*Table5[[#This Row],[Cost]]))*Exchange_Rate</f>
        <v>339.99</v>
      </c>
      <c r="Z108" s="6">
        <f>Table5[[#This Row],[$+Warr]]/Table5[[#This Row],[SizTB]]</f>
        <v>33.999000000000002</v>
      </c>
      <c r="AA108" s="6">
        <f>Table5[[#This Row],[$PerTB]]/CompareWarrYrs</f>
        <v>6.7998000000000003</v>
      </c>
      <c r="AB108" s="124" t="s">
        <v>38</v>
      </c>
    </row>
    <row r="109" spans="1:28">
      <c r="A109" s="1">
        <v>43055</v>
      </c>
      <c r="B109" t="s">
        <v>6</v>
      </c>
      <c r="C109" s="117" t="s">
        <v>58</v>
      </c>
      <c r="D109" s="31" t="s">
        <v>50</v>
      </c>
      <c r="E109" s="100">
        <v>3.5</v>
      </c>
      <c r="F109" s="86">
        <v>12</v>
      </c>
      <c r="G109" s="46">
        <v>7200</v>
      </c>
      <c r="H109" s="5">
        <v>4.16</v>
      </c>
      <c r="I109" s="5"/>
      <c r="J109" s="65">
        <f>(Table5[[#This Row],[RPM]]/5400-1)</f>
        <v>0.33333333333333326</v>
      </c>
      <c r="K109" s="49">
        <v>255</v>
      </c>
      <c r="L109">
        <v>5</v>
      </c>
      <c r="M109" s="40">
        <v>600000</v>
      </c>
      <c r="N109">
        <v>550</v>
      </c>
      <c r="O109" s="40">
        <v>2500000</v>
      </c>
      <c r="P109" s="39">
        <v>1000000000000000</v>
      </c>
      <c r="Q109" s="57"/>
      <c r="R109" s="5">
        <v>7</v>
      </c>
      <c r="S109" s="5">
        <v>5</v>
      </c>
      <c r="T109" s="130"/>
      <c r="U109" s="134">
        <f>(((Table5[[#This Row],[Watts Active]]*Power_On_Hours_Year/1000)*Active_Duty_Cycle)+((Table5[[#This Row],[Watts Idle]]*Power_On_Hours_Year/1000)*(100%-Active_Duty_Cycle)))*CostPerKWH</f>
        <v>5.9168880000000001</v>
      </c>
      <c r="V109" s="202">
        <f>Table5[Energy$year]/Table5[[#This Row],[SizTB]]</f>
        <v>0.49307400000000001</v>
      </c>
      <c r="W109" s="201">
        <v>459.99</v>
      </c>
      <c r="X109" s="6">
        <f>Table5[[#This Row],[Cost]]/Table5[[#This Row],[SizTB]]*Exchange_Rate</f>
        <v>38.332500000000003</v>
      </c>
      <c r="Y109" s="206">
        <f>Table5[[#This Row],[Cost]]+((CompareWarrYrs-Table5[[#This Row],[S]])*(Incremental_Warr_Yr*Table5[[#This Row],[Cost]]))*Exchange_Rate</f>
        <v>459.99</v>
      </c>
      <c r="Z109" s="6">
        <f>Table5[[#This Row],[$+Warr]]/Table5[[#This Row],[SizTB]]</f>
        <v>38.332500000000003</v>
      </c>
      <c r="AA109" s="6">
        <f>Table5[[#This Row],[$PerTB]]/CompareWarrYrs</f>
        <v>7.666500000000001</v>
      </c>
      <c r="AB109" s="124" t="s">
        <v>38</v>
      </c>
    </row>
    <row r="110" spans="1:28">
      <c r="A110" s="1">
        <v>43053</v>
      </c>
      <c r="B110" t="s">
        <v>6</v>
      </c>
      <c r="C110" s="117" t="s">
        <v>56</v>
      </c>
      <c r="D110" s="123" t="s">
        <v>50</v>
      </c>
      <c r="E110" s="100">
        <v>2.5</v>
      </c>
      <c r="F110" s="86">
        <v>0.75</v>
      </c>
      <c r="G110" s="46">
        <v>5400</v>
      </c>
      <c r="H110" s="5"/>
      <c r="I110" s="5"/>
      <c r="J110" s="65">
        <f>(Table5[[#This Row],[RPM]]/5400-1)</f>
        <v>0</v>
      </c>
      <c r="K110" s="49">
        <v>144</v>
      </c>
      <c r="L110">
        <v>3</v>
      </c>
      <c r="M110" s="40">
        <v>600000</v>
      </c>
      <c r="N110">
        <v>180</v>
      </c>
      <c r="O110" s="40">
        <v>1000000</v>
      </c>
      <c r="P110" s="39">
        <f t="shared" ref="P110:P111" si="13">10^14</f>
        <v>100000000000000</v>
      </c>
      <c r="Q110" s="57">
        <v>5</v>
      </c>
      <c r="R110" s="5">
        <v>1.4</v>
      </c>
      <c r="S110" s="5">
        <v>0.6</v>
      </c>
      <c r="T110" s="130">
        <v>0.2</v>
      </c>
      <c r="U110" s="134">
        <f>(((Table5[[#This Row],[Watts Active]]*Power_On_Hours_Year/1000)*Active_Duty_Cycle)+((Table5[[#This Row],[Watts Idle]]*Power_On_Hours_Year/1000)*(100%-Active_Duty_Cycle)))*CostPerKWH</f>
        <v>0.83274720000000002</v>
      </c>
      <c r="V110" s="202">
        <f>Table5[Energy$year]/Table5[[#This Row],[SizTB]]</f>
        <v>1.1103296</v>
      </c>
      <c r="W110" s="201">
        <v>63.97</v>
      </c>
      <c r="X110" s="6">
        <f>Table5[[#This Row],[Cost]]/Table5[[#This Row],[SizTB]]*Exchange_Rate</f>
        <v>85.293333333333337</v>
      </c>
      <c r="Y110" s="206">
        <f>Table5[[#This Row],[Cost]]+((CompareWarrYrs-Table5[[#This Row],[S]])*(Incremental_Warr_Yr*Table5[[#This Row],[Cost]]))*Exchange_Rate</f>
        <v>78.043399999999991</v>
      </c>
      <c r="Z110" s="6">
        <f>Table5[[#This Row],[$+Warr]]/Table5[[#This Row],[SizTB]]</f>
        <v>104.05786666666665</v>
      </c>
      <c r="AA110" s="6">
        <f>Table5[[#This Row],[$PerTB]]/CompareWarrYrs</f>
        <v>20.811573333333332</v>
      </c>
      <c r="AB110" s="44"/>
    </row>
    <row r="111" spans="1:28">
      <c r="A111" s="1">
        <v>43053</v>
      </c>
      <c r="B111" t="s">
        <v>6</v>
      </c>
      <c r="C111" s="117" t="s">
        <v>56</v>
      </c>
      <c r="D111" s="123" t="s">
        <v>50</v>
      </c>
      <c r="E111" s="100">
        <v>2.5</v>
      </c>
      <c r="F111" s="86">
        <v>1</v>
      </c>
      <c r="G111" s="46">
        <v>5400</v>
      </c>
      <c r="H111" s="5"/>
      <c r="I111" s="5"/>
      <c r="J111" s="65">
        <f>(Table5[[#This Row],[RPM]]/5400-1)</f>
        <v>0</v>
      </c>
      <c r="K111" s="49">
        <v>144</v>
      </c>
      <c r="L111">
        <v>3</v>
      </c>
      <c r="M111" s="40">
        <v>600000</v>
      </c>
      <c r="N111">
        <v>180</v>
      </c>
      <c r="O111" s="40">
        <v>1000000</v>
      </c>
      <c r="P111" s="39">
        <f t="shared" si="13"/>
        <v>100000000000000</v>
      </c>
      <c r="Q111" s="57">
        <v>5</v>
      </c>
      <c r="R111" s="5">
        <v>1.4</v>
      </c>
      <c r="S111" s="5">
        <v>0.6</v>
      </c>
      <c r="T111" s="130">
        <v>0.2</v>
      </c>
      <c r="U111" s="134">
        <f>(((Table5[[#This Row],[Watts Active]]*Power_On_Hours_Year/1000)*Active_Duty_Cycle)+((Table5[[#This Row],[Watts Idle]]*Power_On_Hours_Year/1000)*(100%-Active_Duty_Cycle)))*CostPerKWH</f>
        <v>0.83274720000000002</v>
      </c>
      <c r="V111" s="202">
        <f>Table5[Energy$year]/Table5[[#This Row],[SizTB]]</f>
        <v>0.83274720000000002</v>
      </c>
      <c r="W111" s="201">
        <v>79.55</v>
      </c>
      <c r="X111" s="6">
        <f>Table5[[#This Row],[Cost]]/Table5[[#This Row],[SizTB]]*Exchange_Rate</f>
        <v>79.55</v>
      </c>
      <c r="Y111" s="206">
        <f>Table5[[#This Row],[Cost]]+((CompareWarrYrs-Table5[[#This Row],[S]])*(Incremental_Warr_Yr*Table5[[#This Row],[Cost]]))*Exchange_Rate</f>
        <v>97.051000000000002</v>
      </c>
      <c r="Z111" s="6">
        <f>Table5[[#This Row],[$+Warr]]/Table5[[#This Row],[SizTB]]</f>
        <v>97.051000000000002</v>
      </c>
      <c r="AA111" s="6">
        <f>Table5[[#This Row],[$PerTB]]/CompareWarrYrs</f>
        <v>19.4102</v>
      </c>
      <c r="AB111" s="44"/>
    </row>
    <row r="112" spans="1:28">
      <c r="A112" s="1">
        <v>43019</v>
      </c>
      <c r="B112" t="s">
        <v>6</v>
      </c>
      <c r="C112" s="117" t="s">
        <v>56</v>
      </c>
      <c r="D112" s="31" t="s">
        <v>50</v>
      </c>
      <c r="E112" s="100">
        <v>3.5</v>
      </c>
      <c r="F112" s="86">
        <v>1</v>
      </c>
      <c r="G112" s="46">
        <v>5400</v>
      </c>
      <c r="H112" s="5"/>
      <c r="I112" s="5"/>
      <c r="J112" s="65">
        <f>(Table5[[#This Row],[RPM]]/5400-1)</f>
        <v>0</v>
      </c>
      <c r="K112" s="49">
        <v>150</v>
      </c>
      <c r="L112">
        <v>3</v>
      </c>
      <c r="M112" s="40">
        <v>600000</v>
      </c>
      <c r="N112">
        <v>180</v>
      </c>
      <c r="O112" s="40">
        <v>1000000</v>
      </c>
      <c r="P112" s="39">
        <f>10^14</f>
        <v>100000000000000</v>
      </c>
      <c r="Q112" s="57">
        <f>12*1.2</f>
        <v>14.399999999999999</v>
      </c>
      <c r="R112" s="5">
        <v>3.3</v>
      </c>
      <c r="S112" s="5">
        <v>2.2999999999999998</v>
      </c>
      <c r="T112" s="130">
        <v>0.4</v>
      </c>
      <c r="U112" s="134">
        <f>(((Table5[[#This Row],[Watts Active]]*Power_On_Hours_Year/1000)*Active_Duty_Cycle)+((Table5[[#This Row],[Watts Idle]]*Power_On_Hours_Year/1000)*(100%-Active_Duty_Cycle)))*CostPerKWH</f>
        <v>2.7393000000000001</v>
      </c>
      <c r="V112" s="202">
        <f>Table5[Energy$year]/Table5[[#This Row],[SizTB]]</f>
        <v>2.7393000000000001</v>
      </c>
      <c r="W112" s="200">
        <v>59.99</v>
      </c>
      <c r="X112" s="6">
        <f>Table5[[#This Row],[Cost]]/Table5[[#This Row],[SizTB]]*Exchange_Rate</f>
        <v>59.99</v>
      </c>
      <c r="Y112" s="206">
        <f>Table5[[#This Row],[Cost]]+((CompareWarrYrs-Table5[[#This Row],[S]])*(Incremental_Warr_Yr*Table5[[#This Row],[Cost]]))*Exchange_Rate</f>
        <v>73.18780000000001</v>
      </c>
      <c r="Z112" s="6">
        <f>Table5[[#This Row],[$+Warr]]/Table5[[#This Row],[SizTB]]</f>
        <v>73.18780000000001</v>
      </c>
      <c r="AA112" s="6">
        <f>Table5[[#This Row],[$PerTB]]/CompareWarrYrs</f>
        <v>14.637560000000002</v>
      </c>
      <c r="AB112" s="44"/>
    </row>
    <row r="113" spans="1:28">
      <c r="A113" s="1">
        <v>43019</v>
      </c>
      <c r="B113" t="s">
        <v>6</v>
      </c>
      <c r="C113" s="117" t="s">
        <v>56</v>
      </c>
      <c r="D113" s="31" t="s">
        <v>50</v>
      </c>
      <c r="E113" s="100">
        <v>3.5</v>
      </c>
      <c r="F113" s="86">
        <v>2</v>
      </c>
      <c r="G113" s="46">
        <v>5400</v>
      </c>
      <c r="H113" s="5"/>
      <c r="I113" s="5"/>
      <c r="J113" s="65">
        <f>(Table5[[#This Row],[RPM]]/5400-1)</f>
        <v>0</v>
      </c>
      <c r="K113" s="49">
        <v>147</v>
      </c>
      <c r="L113">
        <v>3</v>
      </c>
      <c r="M113" s="40">
        <v>600000</v>
      </c>
      <c r="N113">
        <v>180</v>
      </c>
      <c r="O113" s="40">
        <v>1000000</v>
      </c>
      <c r="P113" s="39">
        <f t="shared" ref="P113:P119" si="14">10^14</f>
        <v>100000000000000</v>
      </c>
      <c r="Q113" s="57">
        <f>12*1.73</f>
        <v>20.759999999999998</v>
      </c>
      <c r="R113" s="5">
        <v>4.0999999999999996</v>
      </c>
      <c r="S113" s="5">
        <v>2.7</v>
      </c>
      <c r="T113" s="130">
        <v>0.4</v>
      </c>
      <c r="U113" s="134">
        <f>(((Table5[[#This Row],[Watts Active]]*Power_On_Hours_Year/1000)*Active_Duty_Cycle)+((Table5[[#This Row],[Watts Idle]]*Power_On_Hours_Year/1000)*(100%-Active_Duty_Cycle)))*CostPerKWH</f>
        <v>3.2652456000000005</v>
      </c>
      <c r="V113" s="202">
        <f>Table5[Energy$year]/Table5[[#This Row],[SizTB]]</f>
        <v>1.6326228000000003</v>
      </c>
      <c r="W113" s="200">
        <v>84.99</v>
      </c>
      <c r="X113" s="6">
        <f>Table5[[#This Row],[Cost]]/Table5[[#This Row],[SizTB]]*Exchange_Rate</f>
        <v>42.494999999999997</v>
      </c>
      <c r="Y113" s="206">
        <f>Table5[[#This Row],[Cost]]+((CompareWarrYrs-Table5[[#This Row],[S]])*(Incremental_Warr_Yr*Table5[[#This Row],[Cost]]))*Exchange_Rate</f>
        <v>103.6878</v>
      </c>
      <c r="Z113" s="6">
        <f>Table5[[#This Row],[$+Warr]]/Table5[[#This Row],[SizTB]]</f>
        <v>51.843899999999998</v>
      </c>
      <c r="AA113" s="6">
        <f>Table5[[#This Row],[$PerTB]]/CompareWarrYrs</f>
        <v>10.368779999999999</v>
      </c>
      <c r="AB113" s="44"/>
    </row>
    <row r="114" spans="1:28">
      <c r="A114" s="1">
        <v>43060</v>
      </c>
      <c r="B114" t="s">
        <v>6</v>
      </c>
      <c r="C114" s="117" t="s">
        <v>56</v>
      </c>
      <c r="D114" s="31" t="s">
        <v>50</v>
      </c>
      <c r="E114" s="100">
        <v>3.5</v>
      </c>
      <c r="F114" s="86">
        <v>3</v>
      </c>
      <c r="G114" s="46">
        <v>5400</v>
      </c>
      <c r="H114" s="5"/>
      <c r="I114" s="5">
        <v>8.9</v>
      </c>
      <c r="J114" s="65">
        <f>(Table5[[#This Row],[RPM]]/5400-1)</f>
        <v>0</v>
      </c>
      <c r="K114" s="49">
        <v>147</v>
      </c>
      <c r="L114">
        <v>3</v>
      </c>
      <c r="M114" s="40">
        <v>600000</v>
      </c>
      <c r="N114">
        <v>180</v>
      </c>
      <c r="O114" s="40">
        <v>1000000</v>
      </c>
      <c r="P114" s="39">
        <f t="shared" si="14"/>
        <v>100000000000000</v>
      </c>
      <c r="Q114" s="57">
        <f>12*1.73</f>
        <v>20.759999999999998</v>
      </c>
      <c r="R114" s="5">
        <v>4.0999999999999996</v>
      </c>
      <c r="S114" s="5">
        <v>2.7</v>
      </c>
      <c r="T114" s="130">
        <v>0.4</v>
      </c>
      <c r="U114" s="134">
        <f>(((Table5[[#This Row],[Watts Active]]*Power_On_Hours_Year/1000)*Active_Duty_Cycle)+((Table5[[#This Row],[Watts Idle]]*Power_On_Hours_Year/1000)*(100%-Active_Duty_Cycle)))*CostPerKWH</f>
        <v>3.2652456000000005</v>
      </c>
      <c r="V114" s="202">
        <f>Table5[Energy$year]/Table5[[#This Row],[SizTB]]</f>
        <v>1.0884152000000002</v>
      </c>
      <c r="W114" s="201">
        <v>89.99</v>
      </c>
      <c r="X114" s="6">
        <f>Table5[[#This Row],[Cost]]/Table5[[#This Row],[SizTB]]*Exchange_Rate</f>
        <v>29.996666666666666</v>
      </c>
      <c r="Y114" s="206">
        <f>Table5[[#This Row],[Cost]]+((CompareWarrYrs-Table5[[#This Row],[S]])*(Incremental_Warr_Yr*Table5[[#This Row],[Cost]]))*Exchange_Rate</f>
        <v>109.78779999999999</v>
      </c>
      <c r="Z114" s="6">
        <f>Table5[[#This Row],[$+Warr]]/Table5[[#This Row],[SizTB]]</f>
        <v>36.595933333333328</v>
      </c>
      <c r="AA114" s="6">
        <f>Table5[[#This Row],[$PerTB]]/CompareWarrYrs</f>
        <v>7.3191866666666652</v>
      </c>
      <c r="AB114" s="44"/>
    </row>
    <row r="115" spans="1:28">
      <c r="A115" s="1">
        <v>43046</v>
      </c>
      <c r="B115" t="s">
        <v>6</v>
      </c>
      <c r="C115" s="117" t="s">
        <v>56</v>
      </c>
      <c r="D115" s="31" t="s">
        <v>50</v>
      </c>
      <c r="E115" s="100">
        <v>3.5</v>
      </c>
      <c r="F115" s="86">
        <v>4</v>
      </c>
      <c r="G115" s="46">
        <v>5400</v>
      </c>
      <c r="H115" s="5"/>
      <c r="I115" s="5"/>
      <c r="J115" s="65">
        <f>(Table5[[#This Row],[RPM]]/5400-1)</f>
        <v>0</v>
      </c>
      <c r="K115" s="49">
        <v>150</v>
      </c>
      <c r="L115">
        <v>3</v>
      </c>
      <c r="M115" s="40">
        <v>600000</v>
      </c>
      <c r="N115">
        <v>180</v>
      </c>
      <c r="O115" s="40">
        <v>1000000</v>
      </c>
      <c r="P115" s="39">
        <f t="shared" si="14"/>
        <v>100000000000000</v>
      </c>
      <c r="Q115" s="57">
        <f>12*1.75</f>
        <v>21</v>
      </c>
      <c r="R115" s="5">
        <v>4.5</v>
      </c>
      <c r="S115" s="5">
        <v>3.3</v>
      </c>
      <c r="T115" s="130">
        <v>0.4</v>
      </c>
      <c r="U115" s="134">
        <f>(((Table5[[#This Row],[Watts Active]]*Power_On_Hours_Year/1000)*Active_Duty_Cycle)+((Table5[[#This Row],[Watts Idle]]*Power_On_Hours_Year/1000)*(100%-Active_Duty_Cycle)))*CostPerKWH</f>
        <v>3.8788488000000001</v>
      </c>
      <c r="V115" s="202">
        <f>Table5[Energy$year]/Table5[[#This Row],[SizTB]]</f>
        <v>0.96971220000000002</v>
      </c>
      <c r="W115" s="201">
        <v>133.99</v>
      </c>
      <c r="X115" s="6">
        <f>Table5[[#This Row],[Cost]]/Table5[[#This Row],[SizTB]]*Exchange_Rate</f>
        <v>33.497500000000002</v>
      </c>
      <c r="Y115" s="206">
        <f>Table5[[#This Row],[Cost]]+((CompareWarrYrs-Table5[[#This Row],[S]])*(Incremental_Warr_Yr*Table5[[#This Row],[Cost]]))*Exchange_Rate</f>
        <v>163.46780000000001</v>
      </c>
      <c r="Z115" s="6">
        <f>Table5[[#This Row],[$+Warr]]/Table5[[#This Row],[SizTB]]</f>
        <v>40.866950000000003</v>
      </c>
      <c r="AA115" s="6">
        <f>Table5[[#This Row],[$PerTB]]/CompareWarrYrs</f>
        <v>8.1733900000000013</v>
      </c>
      <c r="AB115" s="44"/>
    </row>
    <row r="116" spans="1:28">
      <c r="A116" s="1">
        <v>43008</v>
      </c>
      <c r="B116" t="s">
        <v>6</v>
      </c>
      <c r="C116" s="117" t="s">
        <v>56</v>
      </c>
      <c r="D116" s="31" t="s">
        <v>50</v>
      </c>
      <c r="E116" s="100">
        <v>3.5</v>
      </c>
      <c r="F116" s="86">
        <v>5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3</v>
      </c>
      <c r="M116" s="40">
        <v>600000</v>
      </c>
      <c r="N116">
        <v>180</v>
      </c>
      <c r="O116" s="40">
        <v>1000000</v>
      </c>
      <c r="P116" s="39">
        <f t="shared" si="14"/>
        <v>100000000000000</v>
      </c>
      <c r="Q116" s="57">
        <f>12*1.75</f>
        <v>21</v>
      </c>
      <c r="R116" s="5">
        <v>5.3</v>
      </c>
      <c r="S116" s="5">
        <v>3.4</v>
      </c>
      <c r="T116" s="130">
        <v>0.4</v>
      </c>
      <c r="U116" s="134">
        <f>(((Table5[[#This Row],[Watts Active]]*Power_On_Hours_Year/1000)*Active_Duty_Cycle)+((Table5[[#This Row],[Watts Idle]]*Power_On_Hours_Year/1000)*(100%-Active_Duty_Cycle)))*CostPerKWH</f>
        <v>4.1418216000000001</v>
      </c>
      <c r="V116" s="202">
        <f>Table5[Energy$year]/Table5[[#This Row],[SizTB]]</f>
        <v>0.82836432000000004</v>
      </c>
      <c r="W116" s="200">
        <v>262</v>
      </c>
      <c r="X116" s="6">
        <f>Table5[[#This Row],[Cost]]/Table5[[#This Row],[SizTB]]*Exchange_Rate</f>
        <v>52.4</v>
      </c>
      <c r="Y116" s="206">
        <f>Table5[[#This Row],[Cost]]+((CompareWarrYrs-Table5[[#This Row],[S]])*(Incremental_Warr_Yr*Table5[[#This Row],[Cost]]))*Exchange_Rate</f>
        <v>319.64</v>
      </c>
      <c r="Z116" s="6">
        <f>Table5[[#This Row],[$+Warr]]/Table5[[#This Row],[SizTB]]</f>
        <v>63.927999999999997</v>
      </c>
      <c r="AA116" s="6">
        <f>Table5[[#This Row],[$PerTB]]/CompareWarrYrs</f>
        <v>12.785599999999999</v>
      </c>
      <c r="AB116" s="44"/>
    </row>
    <row r="117" spans="1:28">
      <c r="A117" s="1">
        <v>43050</v>
      </c>
      <c r="B117" t="s">
        <v>6</v>
      </c>
      <c r="C117" s="117" t="s">
        <v>56</v>
      </c>
      <c r="D117" s="31" t="s">
        <v>50</v>
      </c>
      <c r="E117" s="100">
        <v>3.5</v>
      </c>
      <c r="F117" s="86">
        <v>6</v>
      </c>
      <c r="G117" s="46">
        <v>5400</v>
      </c>
      <c r="H117" s="5"/>
      <c r="I117" s="5"/>
      <c r="J117" s="65">
        <f>(Table5[[#This Row],[RPM]]/5400-1)</f>
        <v>0</v>
      </c>
      <c r="K117" s="49">
        <v>175</v>
      </c>
      <c r="L117">
        <v>3</v>
      </c>
      <c r="M117" s="40">
        <v>600000</v>
      </c>
      <c r="N117">
        <v>180</v>
      </c>
      <c r="O117" s="40">
        <v>1000000</v>
      </c>
      <c r="P117" s="39">
        <f t="shared" si="14"/>
        <v>100000000000000</v>
      </c>
      <c r="Q117" s="57">
        <f>12*1.75</f>
        <v>21</v>
      </c>
      <c r="R117" s="5">
        <v>5.3</v>
      </c>
      <c r="S117" s="5">
        <v>3.4</v>
      </c>
      <c r="T117" s="130">
        <v>0.4</v>
      </c>
      <c r="U117" s="134">
        <f>(((Table5[[#This Row],[Watts Active]]*Power_On_Hours_Year/1000)*Active_Duty_Cycle)+((Table5[[#This Row],[Watts Idle]]*Power_On_Hours_Year/1000)*(100%-Active_Duty_Cycle)))*CostPerKWH</f>
        <v>4.1418216000000001</v>
      </c>
      <c r="V117" s="202">
        <f>Table5[Energy$year]/Table5[[#This Row],[SizTB]]</f>
        <v>0.69030360000000002</v>
      </c>
      <c r="W117" s="200">
        <v>189.99</v>
      </c>
      <c r="X117" s="6">
        <f>Table5[[#This Row],[Cost]]/Table5[[#This Row],[SizTB]]*Exchange_Rate</f>
        <v>31.665000000000003</v>
      </c>
      <c r="Y117" s="206">
        <f>Table5[[#This Row],[Cost]]+((CompareWarrYrs-Table5[[#This Row],[S]])*(Incremental_Warr_Yr*Table5[[#This Row],[Cost]]))*Exchange_Rate</f>
        <v>231.7878</v>
      </c>
      <c r="Z117" s="6">
        <f>Table5[[#This Row],[$+Warr]]/Table5[[#This Row],[SizTB]]</f>
        <v>38.631300000000003</v>
      </c>
      <c r="AA117" s="6">
        <f>Table5[[#This Row],[$PerTB]]/CompareWarrYrs</f>
        <v>7.7262600000000008</v>
      </c>
      <c r="AB117" s="44"/>
    </row>
    <row r="118" spans="1:28">
      <c r="A118" s="1">
        <v>43057</v>
      </c>
      <c r="B118" t="s">
        <v>6</v>
      </c>
      <c r="C118" s="117" t="s">
        <v>56</v>
      </c>
      <c r="D118" s="31" t="s">
        <v>50</v>
      </c>
      <c r="E118" s="100">
        <v>3.5</v>
      </c>
      <c r="F118" s="86">
        <v>8</v>
      </c>
      <c r="G118" s="46">
        <v>5400</v>
      </c>
      <c r="H118" s="5"/>
      <c r="I118" s="5"/>
      <c r="J118" s="65">
        <f>(Table5[[#This Row],[RPM]]/5400-1)</f>
        <v>0</v>
      </c>
      <c r="K118" s="49">
        <v>178</v>
      </c>
      <c r="L118">
        <v>3</v>
      </c>
      <c r="M118" s="40">
        <v>600000</v>
      </c>
      <c r="N118">
        <v>180</v>
      </c>
      <c r="O118" s="40">
        <v>1000000</v>
      </c>
      <c r="P118" s="39">
        <f t="shared" si="14"/>
        <v>100000000000000</v>
      </c>
      <c r="Q118" s="57">
        <f>12*1.79</f>
        <v>21.48</v>
      </c>
      <c r="R118" s="5">
        <v>6.4</v>
      </c>
      <c r="S118" s="5">
        <v>5.2</v>
      </c>
      <c r="T118" s="130">
        <v>0.7</v>
      </c>
      <c r="U118" s="134">
        <f>(((Table5[[#This Row],[Watts Active]]*Power_On_Hours_Year/1000)*Active_Duty_Cycle)+((Table5[[#This Row],[Watts Idle]]*Power_On_Hours_Year/1000)*(100%-Active_Duty_Cycle)))*CostPerKWH</f>
        <v>5.960716800000001</v>
      </c>
      <c r="V118" s="202">
        <f>Table5[Energy$year]/Table5[[#This Row],[SizTB]]</f>
        <v>0.74508960000000013</v>
      </c>
      <c r="W118" s="200">
        <f>274-14.01</f>
        <v>259.99</v>
      </c>
      <c r="X118" s="6">
        <f>Table5[[#This Row],[Cost]]/Table5[[#This Row],[SizTB]]*Exchange_Rate</f>
        <v>32.498750000000001</v>
      </c>
      <c r="Y118" s="206">
        <f>Table5[[#This Row],[Cost]]+((CompareWarrYrs-Table5[[#This Row],[S]])*(Incremental_Warr_Yr*Table5[[#This Row],[Cost]]))*Exchange_Rate</f>
        <v>317.18780000000004</v>
      </c>
      <c r="Z118" s="6">
        <f>Table5[[#This Row],[$+Warr]]/Table5[[#This Row],[SizTB]]</f>
        <v>39.648475000000005</v>
      </c>
      <c r="AA118" s="6">
        <f>Table5[[#This Row],[$PerTB]]/CompareWarrYrs</f>
        <v>7.9296950000000006</v>
      </c>
      <c r="AB118" s="124" t="s">
        <v>38</v>
      </c>
    </row>
    <row r="119" spans="1:28">
      <c r="A119" s="1">
        <v>43053</v>
      </c>
      <c r="B119" t="s">
        <v>6</v>
      </c>
      <c r="C119" s="117" t="s">
        <v>56</v>
      </c>
      <c r="D119" s="31" t="s">
        <v>50</v>
      </c>
      <c r="E119" s="100">
        <v>3.5</v>
      </c>
      <c r="F119" s="86">
        <v>10</v>
      </c>
      <c r="G119" s="46">
        <v>5400</v>
      </c>
      <c r="H119" s="5"/>
      <c r="I119" s="5"/>
      <c r="J119" s="65">
        <f>(Table5[[#This Row],[RPM]]/5400-1)</f>
        <v>0</v>
      </c>
      <c r="K119" s="49">
        <v>210</v>
      </c>
      <c r="L119">
        <v>3</v>
      </c>
      <c r="M119" s="40">
        <v>600000</v>
      </c>
      <c r="N119">
        <v>180</v>
      </c>
      <c r="O119" s="40">
        <v>1000000</v>
      </c>
      <c r="P119" s="39">
        <f t="shared" si="14"/>
        <v>100000000000000</v>
      </c>
      <c r="Q119" s="57">
        <f>12*1.79</f>
        <v>21.48</v>
      </c>
      <c r="R119" s="5">
        <v>5.7</v>
      </c>
      <c r="S119" s="5">
        <v>2.8</v>
      </c>
      <c r="T119" s="130">
        <v>0.5</v>
      </c>
      <c r="U119" s="134">
        <f>(((Table5[[#This Row],[Watts Active]]*Power_On_Hours_Year/1000)*Active_Duty_Cycle)+((Table5[[#This Row],[Watts Idle]]*Power_On_Hours_Year/1000)*(100%-Active_Duty_Cycle)))*CostPerKWH</f>
        <v>3.7035336000000001</v>
      </c>
      <c r="V119" s="202">
        <f>Table5[Energy$year]/Table5[[#This Row],[SizTB]]</f>
        <v>0.37035336000000002</v>
      </c>
      <c r="W119" s="200">
        <v>349.99</v>
      </c>
      <c r="X119" s="6">
        <f>Table5[[#This Row],[Cost]]/Table5[[#This Row],[SizTB]]*Exchange_Rate</f>
        <v>34.999000000000002</v>
      </c>
      <c r="Y119" s="206">
        <f>Table5[[#This Row],[Cost]]+((CompareWarrYrs-Table5[[#This Row],[S]])*(Incremental_Warr_Yr*Table5[[#This Row],[Cost]]))*Exchange_Rate</f>
        <v>426.98779999999999</v>
      </c>
      <c r="Z119" s="6">
        <f>Table5[[#This Row],[$+Warr]]/Table5[[#This Row],[SizTB]]</f>
        <v>42.698779999999999</v>
      </c>
      <c r="AA119" s="6">
        <f>Table5[[#This Row],[$PerTB]]/CompareWarrYrs</f>
        <v>8.5397560000000006</v>
      </c>
      <c r="AB119" s="124" t="s">
        <v>38</v>
      </c>
    </row>
    <row r="120" spans="1:28">
      <c r="A120" s="1">
        <v>43019</v>
      </c>
      <c r="B120" t="s">
        <v>6</v>
      </c>
      <c r="C120" s="117" t="s">
        <v>12</v>
      </c>
      <c r="D120" s="31" t="s">
        <v>50</v>
      </c>
      <c r="E120" s="100">
        <v>3.5</v>
      </c>
      <c r="F120" s="86">
        <v>2</v>
      </c>
      <c r="G120" s="46">
        <v>7200</v>
      </c>
      <c r="H120" s="5"/>
      <c r="I120" s="5"/>
      <c r="J120" s="65">
        <f>(Table5[[#This Row],[RPM]]/5400-1)</f>
        <v>0.33333333333333326</v>
      </c>
      <c r="K120" s="49">
        <v>164</v>
      </c>
      <c r="L120">
        <v>5</v>
      </c>
      <c r="M120" s="40">
        <v>600000</v>
      </c>
      <c r="N120">
        <v>300</v>
      </c>
      <c r="O120" s="40">
        <v>1000000</v>
      </c>
      <c r="P120" s="39">
        <v>1000000000000000</v>
      </c>
      <c r="Q120" s="57">
        <f>12*1.9</f>
        <v>22.799999999999997</v>
      </c>
      <c r="R120" s="5">
        <v>7.8</v>
      </c>
      <c r="S120" s="5">
        <v>6</v>
      </c>
      <c r="T120" s="130">
        <v>1.4</v>
      </c>
      <c r="U120" s="134">
        <f>(((Table5[[#This Row],[Watts Active]]*Power_On_Hours_Year/1000)*Active_Duty_Cycle)+((Table5[[#This Row],[Watts Idle]]*Power_On_Hours_Year/1000)*(100%-Active_Duty_Cycle)))*CostPerKWH</f>
        <v>6.9687792000000002</v>
      </c>
      <c r="V120" s="202">
        <f>Table5[Energy$year]/Table5[[#This Row],[SizTB]]</f>
        <v>3.4843896000000001</v>
      </c>
      <c r="W120" s="200">
        <v>120.99</v>
      </c>
      <c r="X120" s="6">
        <f>Table5[[#This Row],[Cost]]/Table5[[#This Row],[SizTB]]*Exchange_Rate</f>
        <v>60.494999999999997</v>
      </c>
      <c r="Y120" s="206">
        <f>Table5[[#This Row],[Cost]]+((CompareWarrYrs-Table5[[#This Row],[S]])*(Incremental_Warr_Yr*Table5[[#This Row],[Cost]]))*Exchange_Rate</f>
        <v>120.99</v>
      </c>
      <c r="Z120" s="6">
        <f>Table5[[#This Row],[$+Warr]]/Table5[[#This Row],[SizTB]]</f>
        <v>60.494999999999997</v>
      </c>
      <c r="AA120" s="6">
        <f>Table5[[#This Row],[$PerTB]]/CompareWarrYrs</f>
        <v>12.099</v>
      </c>
      <c r="AB120" s="44"/>
    </row>
    <row r="121" spans="1:28">
      <c r="A121" s="1">
        <v>43001</v>
      </c>
      <c r="B121" t="s">
        <v>6</v>
      </c>
      <c r="C121" s="117" t="s">
        <v>12</v>
      </c>
      <c r="D121" s="31" t="s">
        <v>50</v>
      </c>
      <c r="E121" s="100">
        <v>3.5</v>
      </c>
      <c r="F121" s="86">
        <v>3</v>
      </c>
      <c r="G121" s="46">
        <v>7200</v>
      </c>
      <c r="H121" s="5"/>
      <c r="I121" s="5"/>
      <c r="J121" s="65">
        <f>(Table5[[#This Row],[RPM]]/5400-1)</f>
        <v>0.33333333333333326</v>
      </c>
      <c r="K121" s="49"/>
      <c r="L121">
        <v>5</v>
      </c>
      <c r="M121" s="40">
        <v>600000</v>
      </c>
      <c r="N121">
        <v>300</v>
      </c>
      <c r="O121" s="40">
        <v>1000000</v>
      </c>
      <c r="P121" s="39">
        <v>1000000000000000</v>
      </c>
      <c r="Q121" s="57">
        <f>12*1.9</f>
        <v>22.799999999999997</v>
      </c>
      <c r="R121" s="5">
        <v>8.6</v>
      </c>
      <c r="S121" s="5">
        <v>6.5</v>
      </c>
      <c r="T121" s="130">
        <v>0.6</v>
      </c>
      <c r="U121" s="134">
        <f>(((Table5[[#This Row],[Watts Active]]*Power_On_Hours_Year/1000)*Active_Duty_Cycle)+((Table5[[#This Row],[Watts Idle]]*Power_On_Hours_Year/1000)*(100%-Active_Duty_Cycle)))*CostPerKWH</f>
        <v>7.5823824000000002</v>
      </c>
      <c r="V121" s="202">
        <f>Table5[Energy$year]/Table5[[#This Row],[SizTB]]</f>
        <v>2.5274608000000001</v>
      </c>
      <c r="W121" s="200">
        <v>209.99</v>
      </c>
      <c r="X121" s="6">
        <f>Table5[[#This Row],[Cost]]/Table5[[#This Row],[SizTB]]*Exchange_Rate</f>
        <v>69.99666666666667</v>
      </c>
      <c r="Y121" s="206">
        <f>Table5[[#This Row],[Cost]]+((CompareWarrYrs-Table5[[#This Row],[S]])*(Incremental_Warr_Yr*Table5[[#This Row],[Cost]]))*Exchange_Rate</f>
        <v>209.99</v>
      </c>
      <c r="Z121" s="6">
        <f>Table5[[#This Row],[$+Warr]]/Table5[[#This Row],[SizTB]]</f>
        <v>69.99666666666667</v>
      </c>
      <c r="AA121" s="6">
        <f>Table5[[#This Row],[$PerTB]]/CompareWarrYrs</f>
        <v>13.999333333333334</v>
      </c>
      <c r="AB121" s="44"/>
    </row>
    <row r="122" spans="1:28">
      <c r="A122" s="1">
        <v>43019</v>
      </c>
      <c r="B122" t="s">
        <v>6</v>
      </c>
      <c r="C122" s="117" t="s">
        <v>12</v>
      </c>
      <c r="D122" s="31" t="s">
        <v>50</v>
      </c>
      <c r="E122" s="100">
        <v>3.5</v>
      </c>
      <c r="F122" s="86">
        <v>4</v>
      </c>
      <c r="G122" s="46">
        <v>7200</v>
      </c>
      <c r="H122" s="5"/>
      <c r="I122" s="5"/>
      <c r="J122" s="65">
        <f>(Table5[[#This Row],[RPM]]/5400-1)</f>
        <v>0.33333333333333326</v>
      </c>
      <c r="K122" s="49">
        <v>202</v>
      </c>
      <c r="L122">
        <v>5</v>
      </c>
      <c r="M122" s="40">
        <v>600000</v>
      </c>
      <c r="N122">
        <v>300</v>
      </c>
      <c r="O122" s="40">
        <v>1000000</v>
      </c>
      <c r="P122" s="39">
        <v>1000000000000000</v>
      </c>
      <c r="Q122" s="57">
        <f>12*1.79</f>
        <v>21.48</v>
      </c>
      <c r="R122" s="5">
        <v>9.1</v>
      </c>
      <c r="S122" s="5">
        <v>7.1</v>
      </c>
      <c r="T122" s="130">
        <v>1</v>
      </c>
      <c r="U122" s="134">
        <f>(((Table5[[#This Row],[Watts Active]]*Power_On_Hours_Year/1000)*Active_Duty_Cycle)+((Table5[[#This Row],[Watts Idle]]*Power_On_Hours_Year/1000)*(100%-Active_Duty_Cycle)))*CostPerKWH</f>
        <v>8.2179000000000002</v>
      </c>
      <c r="V122" s="202">
        <f>Table5[Energy$year]/Table5[[#This Row],[SizTB]]</f>
        <v>2.0544750000000001</v>
      </c>
      <c r="W122" s="200">
        <v>174.99</v>
      </c>
      <c r="X122" s="6">
        <f>Table5[[#This Row],[Cost]]/Table5[[#This Row],[SizTB]]*Exchange_Rate</f>
        <v>43.747500000000002</v>
      </c>
      <c r="Y122" s="206">
        <f>Table5[[#This Row],[Cost]]+((CompareWarrYrs-Table5[[#This Row],[S]])*(Incremental_Warr_Yr*Table5[[#This Row],[Cost]]))*Exchange_Rate</f>
        <v>174.99</v>
      </c>
      <c r="Z122" s="6">
        <f>Table5[[#This Row],[$+Warr]]/Table5[[#This Row],[SizTB]]</f>
        <v>43.747500000000002</v>
      </c>
      <c r="AA122" s="6">
        <f>Table5[[#This Row],[$PerTB]]/CompareWarrYrs</f>
        <v>8.7495000000000012</v>
      </c>
      <c r="AB122" s="44"/>
    </row>
    <row r="123" spans="1:28">
      <c r="A123" s="1">
        <v>43028</v>
      </c>
      <c r="B123" t="s">
        <v>6</v>
      </c>
      <c r="C123" s="117" t="s">
        <v>12</v>
      </c>
      <c r="D123" s="31" t="s">
        <v>50</v>
      </c>
      <c r="E123" s="100">
        <v>3.5</v>
      </c>
      <c r="F123" s="86">
        <v>6</v>
      </c>
      <c r="G123" s="46">
        <v>7200</v>
      </c>
      <c r="H123" s="5"/>
      <c r="I123" s="5"/>
      <c r="J123" s="65">
        <f>(Table5[[#This Row],[RPM]]/5400-1)</f>
        <v>0.33333333333333326</v>
      </c>
      <c r="K123" s="49">
        <v>227</v>
      </c>
      <c r="L123">
        <v>5</v>
      </c>
      <c r="M123" s="40">
        <v>600000</v>
      </c>
      <c r="N123">
        <v>300</v>
      </c>
      <c r="O123" s="40">
        <v>1000000</v>
      </c>
      <c r="P123" s="39">
        <v>1000000000000000</v>
      </c>
      <c r="Q123" s="57">
        <f>12*1.79</f>
        <v>21.48</v>
      </c>
      <c r="R123" s="5">
        <v>9.1</v>
      </c>
      <c r="S123" s="5">
        <v>7.1</v>
      </c>
      <c r="T123" s="130">
        <v>1</v>
      </c>
      <c r="U123" s="134">
        <f>(((Table5[[#This Row],[Watts Active]]*Power_On_Hours_Year/1000)*Active_Duty_Cycle)+((Table5[[#This Row],[Watts Idle]]*Power_On_Hours_Year/1000)*(100%-Active_Duty_Cycle)))*CostPerKWH</f>
        <v>8.2179000000000002</v>
      </c>
      <c r="V123" s="202">
        <f>Table5[Energy$year]/Table5[[#This Row],[SizTB]]</f>
        <v>1.36965</v>
      </c>
      <c r="W123" s="200">
        <v>230</v>
      </c>
      <c r="X123" s="6">
        <f>Table5[[#This Row],[Cost]]/Table5[[#This Row],[SizTB]]*Exchange_Rate</f>
        <v>38.333333333333336</v>
      </c>
      <c r="Y123" s="206">
        <f>Table5[[#This Row],[Cost]]+((CompareWarrYrs-Table5[[#This Row],[S]])*(Incremental_Warr_Yr*Table5[[#This Row],[Cost]]))*Exchange_Rate</f>
        <v>230</v>
      </c>
      <c r="Z123" s="6">
        <f>Table5[[#This Row],[$+Warr]]/Table5[[#This Row],[SizTB]]</f>
        <v>38.333333333333336</v>
      </c>
      <c r="AA123" s="6">
        <f>Table5[[#This Row],[$PerTB]]/CompareWarrYrs</f>
        <v>7.666666666666667</v>
      </c>
      <c r="AB123" s="44"/>
    </row>
    <row r="124" spans="1:28">
      <c r="A124" s="1">
        <v>43019</v>
      </c>
      <c r="B124" t="s">
        <v>6</v>
      </c>
      <c r="C124" s="117" t="s">
        <v>12</v>
      </c>
      <c r="D124" s="31" t="s">
        <v>50</v>
      </c>
      <c r="E124" s="100">
        <v>3.5</v>
      </c>
      <c r="F124" s="86">
        <v>8</v>
      </c>
      <c r="G124" s="46">
        <v>7200</v>
      </c>
      <c r="H124" s="5"/>
      <c r="I124" s="5"/>
      <c r="J124" s="65">
        <f>(Table5[[#This Row],[RPM]]/5400-1)</f>
        <v>0.33333333333333326</v>
      </c>
      <c r="K124" s="49">
        <v>205</v>
      </c>
      <c r="L124">
        <v>5</v>
      </c>
      <c r="M124" s="40">
        <v>600000</v>
      </c>
      <c r="N124">
        <v>300</v>
      </c>
      <c r="O124" s="40">
        <v>1000000</v>
      </c>
      <c r="P124" s="39">
        <v>1000000000000000</v>
      </c>
      <c r="Q124" s="57">
        <f>12*1.79</f>
        <v>21.48</v>
      </c>
      <c r="R124" s="5">
        <v>8.3000000000000007</v>
      </c>
      <c r="S124" s="5">
        <v>5.2</v>
      </c>
      <c r="T124" s="130">
        <v>1</v>
      </c>
      <c r="U124" s="134">
        <f>(((Table5[[#This Row],[Watts Active]]*Power_On_Hours_Year/1000)*Active_Duty_Cycle)+((Table5[[#This Row],[Watts Idle]]*Power_On_Hours_Year/1000)*(100%-Active_Duty_Cycle)))*CostPerKWH</f>
        <v>6.377090400000001</v>
      </c>
      <c r="V124" s="202">
        <f>Table5[Energy$year]/Table5[[#This Row],[SizTB]]</f>
        <v>0.79713630000000013</v>
      </c>
      <c r="W124" s="200">
        <v>328</v>
      </c>
      <c r="X124" s="6">
        <f>Table5[[#This Row],[Cost]]/Table5[[#This Row],[SizTB]]*Exchange_Rate</f>
        <v>41</v>
      </c>
      <c r="Y124" s="206">
        <f>Table5[[#This Row],[Cost]]+((CompareWarrYrs-Table5[[#This Row],[S]])*(Incremental_Warr_Yr*Table5[[#This Row],[Cost]]))*Exchange_Rate</f>
        <v>328</v>
      </c>
      <c r="Z124" s="6">
        <f>Table5[[#This Row],[$+Warr]]/Table5[[#This Row],[SizTB]]</f>
        <v>41</v>
      </c>
      <c r="AA124" s="6">
        <f>Table5[[#This Row],[$PerTB]]/CompareWarrYrs</f>
        <v>8.1999999999999993</v>
      </c>
      <c r="AB124" s="124" t="s">
        <v>38</v>
      </c>
    </row>
    <row r="125" spans="1:28" ht="15.75" thickBot="1">
      <c r="A125" s="1">
        <v>43019</v>
      </c>
      <c r="B125" t="s">
        <v>6</v>
      </c>
      <c r="C125" s="117" t="s">
        <v>12</v>
      </c>
      <c r="D125" s="108" t="s">
        <v>50</v>
      </c>
      <c r="E125" s="100">
        <v>3.5</v>
      </c>
      <c r="F125" s="86">
        <v>10</v>
      </c>
      <c r="G125" s="47">
        <v>7200</v>
      </c>
      <c r="H125" s="5"/>
      <c r="I125" s="5"/>
      <c r="J125" s="65">
        <f>(Table5[[#This Row],[RPM]]/5400-1)</f>
        <v>0.33333333333333326</v>
      </c>
      <c r="K125" s="50">
        <v>240</v>
      </c>
      <c r="L125">
        <v>5</v>
      </c>
      <c r="M125" s="40">
        <v>600000</v>
      </c>
      <c r="N125">
        <v>300</v>
      </c>
      <c r="O125" s="40">
        <v>1000000</v>
      </c>
      <c r="P125" s="39">
        <v>1000000000000000</v>
      </c>
      <c r="Q125" s="57">
        <f>12*1.8</f>
        <v>21.6</v>
      </c>
      <c r="R125" s="5">
        <v>5.7</v>
      </c>
      <c r="S125" s="5">
        <v>2.8</v>
      </c>
      <c r="T125" s="130">
        <v>0.5</v>
      </c>
      <c r="U125" s="138">
        <f>(((Table5[[#This Row],[Watts Active]]*Power_On_Hours_Year/1000)*Active_Duty_Cycle)+((Table5[[#This Row],[Watts Idle]]*Power_On_Hours_Year/1000)*(100%-Active_Duty_Cycle)))*CostPerKWH</f>
        <v>3.7035336000000001</v>
      </c>
      <c r="V125" s="204">
        <f>Table5[Energy$year]/Table5[[#This Row],[SizTB]]</f>
        <v>0.37035336000000002</v>
      </c>
      <c r="W125" s="200">
        <v>440.77</v>
      </c>
      <c r="X125" s="6">
        <f>Table5[[#This Row],[Cost]]/Table5[[#This Row],[SizTB]]*Exchange_Rate</f>
        <v>44.076999999999998</v>
      </c>
      <c r="Y125" s="207">
        <f>Table5[[#This Row],[Cost]]+((CompareWarrYrs-Table5[[#This Row],[S]])*(Incremental_Warr_Yr*Table5[[#This Row],[Cost]]))*Exchange_Rate</f>
        <v>440.77</v>
      </c>
      <c r="Z125" s="6">
        <f>Table5[[#This Row],[$+Warr]]/Table5[[#This Row],[SizTB]]</f>
        <v>44.076999999999998</v>
      </c>
      <c r="AA125" s="6">
        <f>Table5[[#This Row],[$PerTB]]/CompareWarrYrs</f>
        <v>8.8154000000000003</v>
      </c>
      <c r="AB125" s="124" t="s">
        <v>38</v>
      </c>
    </row>
    <row r="126" spans="1:28" ht="15.75" thickBot="1">
      <c r="A126" s="7"/>
      <c r="B126" s="7"/>
      <c r="C126" s="7"/>
      <c r="D126" s="12" t="s">
        <v>23</v>
      </c>
      <c r="E126" s="103">
        <f>MIN(Table5[FormFactor])</f>
        <v>2.5</v>
      </c>
      <c r="F126" s="61">
        <f>MIN(Table5[SizTB])</f>
        <v>0.6</v>
      </c>
      <c r="G126" s="149">
        <f>MIN(Table5[RPM])</f>
        <v>5400</v>
      </c>
      <c r="H126" s="13">
        <f>MIN(Table5[AvgLatency])</f>
        <v>1.99</v>
      </c>
      <c r="I126" s="13">
        <f>MIN(Table5[SeekT])</f>
        <v>2.9</v>
      </c>
      <c r="J126" s="15"/>
      <c r="K126" s="66">
        <f>MIN(Table5[XferRate])</f>
        <v>99</v>
      </c>
      <c r="L126" s="54">
        <f>MIN(Table5[S])</f>
        <v>2</v>
      </c>
      <c r="M126" s="41">
        <f>MIN(Table5[CycleCnt])</f>
        <v>300000</v>
      </c>
      <c r="N126" s="13">
        <f>MIN(Table5[WorkLoad])</f>
        <v>55</v>
      </c>
      <c r="O126" s="41">
        <f>MIN(Table5[MTBF])</f>
        <v>500000</v>
      </c>
      <c r="P126" s="51">
        <f>MIN(Table5[RErrRate])</f>
        <v>100000000000000</v>
      </c>
      <c r="Q126" s="58">
        <f>MIN(Table5[MaxStartupWatts])</f>
        <v>4.5</v>
      </c>
      <c r="R126" s="13">
        <f>MIN(R3:R125)</f>
        <v>1.4</v>
      </c>
      <c r="S126" s="13">
        <f>MIN(S3:S125)</f>
        <v>0.45</v>
      </c>
      <c r="T126" s="132">
        <f>MIN(Table5[WattsStandby])</f>
        <v>0.1</v>
      </c>
      <c r="U126" s="139">
        <f>MIN(Table5[Energy$year])</f>
        <v>0</v>
      </c>
      <c r="V126" s="151">
        <f>MIN(Table5[Energy$yearPerTB])</f>
        <v>0</v>
      </c>
      <c r="W126" s="139">
        <f>MIN(Table5[Cost])</f>
        <v>44.99</v>
      </c>
      <c r="X126" s="14">
        <f>MIN(Table5[$ TB])</f>
        <v>0</v>
      </c>
      <c r="Y126" s="14">
        <f>MIN(Table5[$ TB])</f>
        <v>0</v>
      </c>
      <c r="Z126" s="14">
        <f>MIN(Table5[$PerTB])</f>
        <v>0</v>
      </c>
      <c r="AA126" s="151">
        <f>MIN(Table5[$ TB/year])</f>
        <v>0</v>
      </c>
    </row>
    <row r="127" spans="1:28" ht="15.75" thickBot="1">
      <c r="B127" s="4"/>
      <c r="D127" s="16" t="s">
        <v>35</v>
      </c>
      <c r="E127" s="104">
        <f>AVERAGE(Table5[FormFactor])</f>
        <v>3.3130081300813008</v>
      </c>
      <c r="F127" s="62">
        <f>AVERAGE(Table5[SizTB])</f>
        <v>4.8142276422764239</v>
      </c>
      <c r="G127" s="150">
        <f>AVERAGE(Table5[RPM])</f>
        <v>7052.2764227642274</v>
      </c>
      <c r="H127" s="17">
        <f>AVERAGE(Table5[AvgLatency])</f>
        <v>4.1365151515151508</v>
      </c>
      <c r="I127" s="17">
        <f>AVERAGE(Table5[SeekT])</f>
        <v>9.1730555555555569</v>
      </c>
      <c r="J127" s="18"/>
      <c r="K127" s="67">
        <f>AVERAGE(Table5[XferRate])</f>
        <v>196.32075471698113</v>
      </c>
      <c r="L127" s="55">
        <f>AVERAGE(Table5[S])</f>
        <v>3.9024390243902438</v>
      </c>
      <c r="M127" s="42">
        <f>AVERAGE(Table5[CycleCnt])</f>
        <v>515730.3370786517</v>
      </c>
      <c r="N127" s="17">
        <f>AVERAGE(Table5[WorkLoad])</f>
        <v>340.5128205128205</v>
      </c>
      <c r="O127" s="42">
        <f>AVERAGE(O3:O125)</f>
        <v>1562650.6024096385</v>
      </c>
      <c r="P127" s="52">
        <f>AVERAGE(Table5[RErrRate])</f>
        <v>3754310344827586</v>
      </c>
      <c r="Q127" s="59">
        <f>AVERAGE(Table5[MaxStartupWatts])</f>
        <v>19.661685714285714</v>
      </c>
      <c r="R127" s="17">
        <f>AVERAGE(R3:R125)</f>
        <v>6.676324786324785</v>
      </c>
      <c r="S127" s="17">
        <f>AVERAGE(S3:S125)</f>
        <v>4.6571074380165278</v>
      </c>
      <c r="T127" s="133">
        <f>AVERAGE(Table5[WattsStandby])</f>
        <v>0.68344927536231892</v>
      </c>
      <c r="U127" s="140">
        <f>AVERAGE(Table5[Energy$year])</f>
        <v>5.4024989682051263</v>
      </c>
      <c r="V127" s="152">
        <f>AVERAGE(Table5[Energy$yearPerTB])</f>
        <v>1.8396417090516894</v>
      </c>
      <c r="W127" s="140">
        <f>AVERAGE(Table5[Cost])</f>
        <v>202.13538135593257</v>
      </c>
      <c r="X127" s="19">
        <f>AVERAGE(Table5[$ TB])</f>
        <v>52.647624661246589</v>
      </c>
      <c r="Y127" s="19">
        <f>AVERAGE(Table5[$ TB])</f>
        <v>52.647624661246589</v>
      </c>
      <c r="Z127" s="19">
        <f>AVERAGE(Table5[$PerTB])</f>
        <v>57.172420928184273</v>
      </c>
      <c r="AA127" s="152">
        <f>AVERAGE(Table5[$ TB/year])</f>
        <v>11.434484185636855</v>
      </c>
    </row>
    <row r="128" spans="1:28" ht="15.75" thickBot="1">
      <c r="B128" s="4"/>
      <c r="D128" s="68" t="s">
        <v>22</v>
      </c>
      <c r="E128" s="105">
        <f>MEDIAN(Table5[FormFactor])</f>
        <v>3.5</v>
      </c>
      <c r="F128" s="62">
        <f>MEDIAN(Table5[SizTB])</f>
        <v>4</v>
      </c>
      <c r="G128" s="150">
        <f>MEDIAN(Table5[RPM])</f>
        <v>7200</v>
      </c>
      <c r="H128" s="17">
        <f>MEDIAN(Table5[AvgLatency])</f>
        <v>4.16</v>
      </c>
      <c r="I128" s="17">
        <f>MEDIAN(Table5[SeekT])</f>
        <v>9.25</v>
      </c>
      <c r="J128" s="20"/>
      <c r="K128" s="67">
        <f>MEDIAN(Table5[XferRate])</f>
        <v>201.5</v>
      </c>
      <c r="L128" s="55">
        <f>MEDIAN(Table5[S])</f>
        <v>5</v>
      </c>
      <c r="M128" s="42">
        <f>MEDIAN(Table5[CycleCnt])</f>
        <v>600000</v>
      </c>
      <c r="N128" s="17">
        <f>MEDIAN(Table5[WorkLoad])</f>
        <v>300</v>
      </c>
      <c r="O128" s="42">
        <f>MEDIAN(Table5[MTBF])</f>
        <v>1200000</v>
      </c>
      <c r="P128" s="52">
        <f>MEDIAN(Table5[RErrRate])</f>
        <v>1000000000000000</v>
      </c>
      <c r="Q128" s="59">
        <f>MEDIAN(Table5[MaxStartupWatts])</f>
        <v>21.6</v>
      </c>
      <c r="R128" s="17">
        <f>MEDIAN(R3:R125)</f>
        <v>7</v>
      </c>
      <c r="S128" s="17">
        <f>MEDIAN(S3:S125)</f>
        <v>5</v>
      </c>
      <c r="T128" s="133">
        <f>MEDIAN(Table5[WattsStandby])</f>
        <v>0.7</v>
      </c>
      <c r="U128" s="140">
        <f>MEDIAN(Table5[Energy$year])</f>
        <v>5.960716800000001</v>
      </c>
      <c r="V128" s="152">
        <f>MEDIAN(Table5[Energy$yearPerTB])</f>
        <v>1.2283021200000002</v>
      </c>
      <c r="W128" s="140">
        <f>MEDIAN(Table5[Cost])</f>
        <v>189.99</v>
      </c>
      <c r="X128" s="19">
        <f>MEDIAN(Table5[$ TB])</f>
        <v>41.664999999999999</v>
      </c>
      <c r="Y128" s="19">
        <f>MEDIAN(Table5[$ TB])</f>
        <v>41.664999999999999</v>
      </c>
      <c r="Z128" s="19">
        <f>MEDIAN(Table5[$PerTB])</f>
        <v>42.698779999999999</v>
      </c>
      <c r="AA128" s="152">
        <f>MEDIAN(Table5[$ TB/year])</f>
        <v>8.5397560000000006</v>
      </c>
    </row>
    <row r="129" spans="1:27" ht="15.75" thickBot="1">
      <c r="B129" t="s">
        <v>103</v>
      </c>
      <c r="D129" s="16" t="s">
        <v>24</v>
      </c>
      <c r="E129" s="104">
        <f>MAX(Table5[FormFactor])</f>
        <v>3.5</v>
      </c>
      <c r="F129" s="62">
        <f>MAX(Table5[SizTB])</f>
        <v>14</v>
      </c>
      <c r="G129" s="150">
        <f>MAX(Table5[RPM])</f>
        <v>15030</v>
      </c>
      <c r="H129" s="17">
        <f>MAX(Table5[AvgLatency])</f>
        <v>6</v>
      </c>
      <c r="I129" s="17">
        <f>MAX(Table5[SeekT])</f>
        <v>16</v>
      </c>
      <c r="J129" s="18"/>
      <c r="K129" s="67">
        <f>MAX(Table5[XferRate])</f>
        <v>270</v>
      </c>
      <c r="L129" s="55">
        <f>MAX(Table5[S])</f>
        <v>5</v>
      </c>
      <c r="M129" s="42">
        <f>MAX(Table5[CycleCnt])</f>
        <v>600000</v>
      </c>
      <c r="N129" s="17">
        <f>MAX(Table5[WorkLoad])</f>
        <v>550</v>
      </c>
      <c r="O129" s="42">
        <f>MAX(Table5[MTBF])</f>
        <v>2500000</v>
      </c>
      <c r="P129" s="52">
        <f>MAX(Table5[RErrRate])</f>
        <v>1E+17</v>
      </c>
      <c r="Q129" s="59">
        <f>MAX(Table5[MaxStartupWatts])</f>
        <v>30</v>
      </c>
      <c r="R129" s="17">
        <f>MAX(R3:R125)</f>
        <v>11.3</v>
      </c>
      <c r="S129" s="17">
        <f>MAX(S3:S125)</f>
        <v>8.1</v>
      </c>
      <c r="T129" s="133">
        <f>MAX(Table5[WattsStandby])</f>
        <v>1.52</v>
      </c>
      <c r="U129" s="140">
        <f>MAX(Table5[Energy$year])</f>
        <v>9.1821336000000002</v>
      </c>
      <c r="V129" s="152">
        <f>MAX(Table5[Energy$yearPerTB])</f>
        <v>11.212868</v>
      </c>
      <c r="W129" s="140">
        <f>MAX(Table5[Cost])</f>
        <v>619.98</v>
      </c>
      <c r="X129" s="19">
        <f>MAX(Table5[$ TB])</f>
        <v>316.58333333333331</v>
      </c>
      <c r="Y129" s="19">
        <f>MAX(Table5[$ TB])</f>
        <v>316.58333333333331</v>
      </c>
      <c r="Z129" s="19">
        <f>MAX(Table5[$PerTB])</f>
        <v>316.58333333333331</v>
      </c>
      <c r="AA129" s="152">
        <f>MAX(Table5[$ TB/year])</f>
        <v>63.316666666666663</v>
      </c>
    </row>
    <row r="130" spans="1:27" ht="15.75" thickBot="1">
      <c r="D130" s="21" t="s">
        <v>39</v>
      </c>
      <c r="E130" s="53">
        <f>COUNT(Table5[FormFactor])</f>
        <v>123</v>
      </c>
      <c r="F130" s="53">
        <f>COUNT(Table5[SizTB])</f>
        <v>123</v>
      </c>
      <c r="G130" s="53">
        <f>COUNT(Table5[RPM])</f>
        <v>123</v>
      </c>
      <c r="H130" s="22">
        <f>COUNT(Table5[AvgLatency])</f>
        <v>66</v>
      </c>
      <c r="I130" s="22">
        <f>COUNT(Table5[SeekT])</f>
        <v>36</v>
      </c>
      <c r="J130" s="23"/>
      <c r="K130" s="60">
        <f>COUNT(Table5[XferRate])</f>
        <v>106</v>
      </c>
      <c r="L130" s="56">
        <f>COUNT(Table5[S])</f>
        <v>123</v>
      </c>
      <c r="M130" s="22">
        <f>COUNT(Table5[CycleCnt])</f>
        <v>89</v>
      </c>
      <c r="N130" s="22">
        <f>COUNT(Table5[WorkLoad])</f>
        <v>78</v>
      </c>
      <c r="O130" s="22">
        <f>COUNT(Table5[MTBF])</f>
        <v>83</v>
      </c>
      <c r="P130" s="53">
        <f>COUNT(Table5[RErrRate])</f>
        <v>116</v>
      </c>
      <c r="Q130" s="154">
        <f>COUNT(Table5[MaxStartupWatts])</f>
        <v>70</v>
      </c>
      <c r="R130" s="155">
        <f>COUNT(Table5[Watts Active])</f>
        <v>117</v>
      </c>
      <c r="S130" s="155">
        <f>COUNT(Table5[Watts Idle])</f>
        <v>121</v>
      </c>
      <c r="T130" s="155">
        <f>COUNT(Table5[WattsStandby])</f>
        <v>69</v>
      </c>
      <c r="U130" s="155">
        <f>COUNT(Table5[Energy$year])</f>
        <v>117</v>
      </c>
      <c r="V130" s="156">
        <f>COUNT(Table5[Energy$yearPerTB])</f>
        <v>117</v>
      </c>
      <c r="W130" s="56">
        <f>COUNT(Table5[Cost])</f>
        <v>118</v>
      </c>
      <c r="X130" s="22">
        <f>COUNT(Table5[$ TB])</f>
        <v>123</v>
      </c>
      <c r="Y130" s="22">
        <f>COUNT(Table5[$ TB])</f>
        <v>123</v>
      </c>
      <c r="Z130" s="22">
        <f>COUNT(Table5[$PerTB])</f>
        <v>123</v>
      </c>
      <c r="AA130" s="153">
        <f>COUNTA(Table5[$ TB/year])</f>
        <v>123</v>
      </c>
    </row>
    <row r="133" spans="1:27" ht="15.75" thickBot="1"/>
    <row r="134" spans="1:27" ht="15.75" thickBot="1">
      <c r="A134" s="168" t="s">
        <v>25</v>
      </c>
      <c r="B134" s="169"/>
      <c r="C134" s="182"/>
      <c r="D134" s="183"/>
      <c r="E134" s="101"/>
    </row>
    <row r="135" spans="1:27" ht="15.75" thickBot="1">
      <c r="A135" s="170">
        <f>MAX(Table5[Date])</f>
        <v>43064</v>
      </c>
      <c r="B135" s="171"/>
      <c r="C135" s="25" t="s">
        <v>19</v>
      </c>
      <c r="D135" s="33">
        <v>0.125</v>
      </c>
      <c r="E135" s="106"/>
      <c r="G135" s="28"/>
    </row>
    <row r="136" spans="1:27" ht="15.75" thickBot="1">
      <c r="C136" s="25" t="s">
        <v>29</v>
      </c>
      <c r="D136" s="26">
        <v>0.2</v>
      </c>
      <c r="E136" s="107"/>
      <c r="G136" s="29"/>
    </row>
    <row r="137" spans="1:27" ht="15.75" thickBot="1">
      <c r="A137" s="168" t="s">
        <v>69</v>
      </c>
      <c r="B137" s="169"/>
      <c r="C137" s="25" t="s">
        <v>34</v>
      </c>
      <c r="D137" s="27">
        <v>5</v>
      </c>
      <c r="E137" s="4"/>
      <c r="G137" s="30"/>
    </row>
    <row r="138" spans="1:27" ht="15.75" thickBot="1">
      <c r="A138" s="166">
        <f>MIN(Table5[Date])</f>
        <v>43001</v>
      </c>
      <c r="B138" s="167"/>
      <c r="C138" s="25" t="s">
        <v>46</v>
      </c>
      <c r="D138" s="26">
        <v>0.11</v>
      </c>
      <c r="E138" s="107"/>
      <c r="G138" s="29"/>
      <c r="J138" s="148"/>
    </row>
    <row r="139" spans="1:27" ht="15.75" thickBot="1">
      <c r="C139" s="25" t="s">
        <v>30</v>
      </c>
      <c r="D139" s="32">
        <f>365.24*Hours_In_Day</f>
        <v>8765.76</v>
      </c>
      <c r="E139" s="30"/>
    </row>
    <row r="140" spans="1:27" ht="15.75" thickBot="1">
      <c r="C140" s="25" t="s">
        <v>52</v>
      </c>
      <c r="D140" s="27">
        <v>24</v>
      </c>
      <c r="E140" s="4"/>
      <c r="G140" s="30"/>
      <c r="H140" s="30"/>
      <c r="I140" s="30"/>
    </row>
    <row r="141" spans="1:27" ht="15.75" thickBot="1">
      <c r="C141" s="25" t="s">
        <v>54</v>
      </c>
      <c r="D141" s="27">
        <f>Days_In_Month*Hours_In_Day</f>
        <v>730.48</v>
      </c>
      <c r="E141" s="4"/>
      <c r="G141" s="30"/>
      <c r="H141" s="30"/>
      <c r="I141" s="30"/>
    </row>
    <row r="142" spans="1:27" ht="15.75" thickBot="1">
      <c r="C142" s="25" t="s">
        <v>51</v>
      </c>
      <c r="D142" s="27">
        <f>Days_in_Year/Months_In_Year</f>
        <v>30.436666666666667</v>
      </c>
      <c r="E142" s="4"/>
    </row>
    <row r="143" spans="1:27" ht="15.75" thickBot="1">
      <c r="C143" s="25" t="s">
        <v>57</v>
      </c>
      <c r="D143" s="27">
        <v>365.24</v>
      </c>
      <c r="E143" s="4"/>
    </row>
    <row r="144" spans="1:27" ht="15.75" thickBot="1">
      <c r="C144" s="25" t="s">
        <v>53</v>
      </c>
      <c r="D144" s="27">
        <v>12</v>
      </c>
      <c r="E144" s="4"/>
      <c r="G144" s="30"/>
      <c r="H144" s="30"/>
      <c r="I144" s="30"/>
    </row>
    <row r="145" spans="1:4" ht="15.75" thickBot="1">
      <c r="C145" s="25" t="s">
        <v>132</v>
      </c>
      <c r="D145" s="147">
        <v>1</v>
      </c>
    </row>
    <row r="146" spans="1:4">
      <c r="C146" s="145"/>
      <c r="D146" s="146"/>
    </row>
    <row r="147" spans="1:4">
      <c r="C147" s="144"/>
      <c r="D147" s="144"/>
    </row>
    <row r="148" spans="1:4">
      <c r="A148" s="122" t="s">
        <v>40</v>
      </c>
    </row>
    <row r="149" spans="1:4" ht="15.75" thickBot="1"/>
    <row r="150" spans="1:4" ht="15.75" thickBot="1">
      <c r="B150" s="163" t="s">
        <v>135</v>
      </c>
      <c r="C150" s="163" t="s">
        <v>140</v>
      </c>
    </row>
    <row r="151" spans="1:4" ht="15.75" thickBot="1">
      <c r="B151" s="160" t="s">
        <v>134</v>
      </c>
      <c r="C151" s="157" t="s">
        <v>136</v>
      </c>
    </row>
    <row r="152" spans="1:4" ht="15.75" thickBot="1">
      <c r="B152" s="161" t="s">
        <v>133</v>
      </c>
      <c r="C152" s="158" t="s">
        <v>137</v>
      </c>
    </row>
    <row r="153" spans="1:4" ht="30.75" thickBot="1">
      <c r="B153" s="162" t="s">
        <v>50</v>
      </c>
      <c r="C153" s="159" t="s">
        <v>138</v>
      </c>
    </row>
    <row r="154" spans="1:4" ht="30.75" thickBot="1">
      <c r="B154" s="161" t="s">
        <v>114</v>
      </c>
      <c r="C154" s="158" t="s">
        <v>139</v>
      </c>
    </row>
  </sheetData>
  <sortState ref="A2:S61">
    <sortCondition ref="B2:B61"/>
    <sortCondition ref="C2:C61"/>
    <sortCondition ref="G2:G61"/>
  </sortState>
  <mergeCells count="11">
    <mergeCell ref="A138:B138"/>
    <mergeCell ref="A137:B137"/>
    <mergeCell ref="A135:B135"/>
    <mergeCell ref="Y1:AA1"/>
    <mergeCell ref="W1:X1"/>
    <mergeCell ref="L1:P1"/>
    <mergeCell ref="Q1:V1"/>
    <mergeCell ref="C134:D134"/>
    <mergeCell ref="A134:B134"/>
    <mergeCell ref="G1:K1"/>
    <mergeCell ref="A1:F1"/>
  </mergeCells>
  <conditionalFormatting sqref="X3:X125">
    <cfRule type="top10" dxfId="2" priority="543" bottom="1" rank="20"/>
  </conditionalFormatting>
  <conditionalFormatting sqref="AA3:AA125">
    <cfRule type="top10" dxfId="1" priority="545" bottom="1" rank="20"/>
  </conditionalFormatting>
  <conditionalFormatting sqref="V3:V125">
    <cfRule type="colorScale" priority="2">
      <colorScale>
        <cfvo type="min"/>
        <cfvo type="percentile" val="50"/>
        <cfvo type="max"/>
        <color theme="9" tint="-0.249977111117893"/>
        <color rgb="FFFFEB84"/>
        <color theme="5"/>
      </colorScale>
    </cfRule>
  </conditionalFormatting>
  <conditionalFormatting sqref="U3:U125">
    <cfRule type="colorScale" priority="549">
      <colorScale>
        <cfvo type="min"/>
        <cfvo type="percentile" val="50"/>
        <cfvo type="max"/>
        <color theme="9"/>
        <color rgb="FFFFEB84"/>
        <color theme="5"/>
      </colorScale>
    </cfRule>
  </conditionalFormatting>
  <conditionalFormatting sqref="Z3:Z125">
    <cfRule type="top10" dxfId="0" priority="1" bottom="1" rank="20"/>
  </conditionalFormatting>
  <hyperlinks>
    <hyperlink ref="C21" r:id="rId1"/>
    <hyperlink ref="C3" r:id="rId2"/>
    <hyperlink ref="C4:C6" r:id="rId3" display="Deskstar NAS"/>
    <hyperlink ref="C15" r:id="rId4"/>
    <hyperlink ref="C14" r:id="rId5"/>
    <hyperlink ref="C16" r:id="rId6"/>
    <hyperlink ref="C9:C12" r:id="rId7" display="Ultrastar 7K6"/>
    <hyperlink ref="C92:C95" r:id="rId8" display="Black"/>
    <hyperlink ref="C34:C39" r:id="rId9" location="pro-specs" display="BarraCuda Pro"/>
    <hyperlink ref="C25:C33" r:id="rId10" location="specs-3-5" display="BarraCuda"/>
    <hyperlink ref="C48:C52" r:id="rId11" display="Exos 7E8"/>
    <hyperlink ref="C42" r:id="rId12"/>
    <hyperlink ref="C40:C41" r:id="rId13" display="Exos 10E2400"/>
    <hyperlink ref="C53:C54" r:id="rId14" display="Exos X10"/>
    <hyperlink ref="C55" r:id="rId15"/>
    <hyperlink ref="C43" r:id="rId16" location="exos-5e8"/>
    <hyperlink ref="C103:C109" r:id="rId17" display="Gold Enterprise"/>
    <hyperlink ref="C120:C125" r:id="rId18" display="RED NAS Pro"/>
    <hyperlink ref="C112:C119" r:id="rId19" display="Red NAS"/>
    <hyperlink ref="C96:C102" r:id="rId20" display="Blue"/>
    <hyperlink ref="C101:C102" r:id="rId21" display="Blue"/>
    <hyperlink ref="C90" r:id="rId22"/>
    <hyperlink ref="C60:C66" r:id="rId23" location="specs" display="IronWolf"/>
    <hyperlink ref="C68:C72" r:id="rId24" location="pro-specs" display="IronWolf Pro"/>
    <hyperlink ref="C74" r:id="rId25"/>
    <hyperlink ref="C56:C57" r:id="rId26" location="3-5-inch-specs" display="FireCuda SSHD"/>
    <hyperlink ref="C58:C59" r:id="rId27" location="2-5-inch-specs" display="FireCuda SSHD"/>
    <hyperlink ref="A148" r:id="rId28"/>
    <hyperlink ref="AB118:AB119" r:id="rId29" display="Helium filled"/>
    <hyperlink ref="AB107:AB109" r:id="rId30" display="Helium filled"/>
    <hyperlink ref="AB124:AB125" r:id="rId31" display="Helium filled"/>
    <hyperlink ref="AB17:AB20" r:id="rId32" display="Helium filled"/>
    <hyperlink ref="AB13" r:id="rId33"/>
    <hyperlink ref="AB21" r:id="rId34"/>
    <hyperlink ref="C20" r:id="rId35"/>
    <hyperlink ref="C19" r:id="rId36"/>
    <hyperlink ref="C7" r:id="rId37"/>
    <hyperlink ref="C8" r:id="rId38"/>
    <hyperlink ref="C80:C82" r:id="rId39" display="N300"/>
    <hyperlink ref="C86:C89" r:id="rId40" display="X300"/>
    <hyperlink ref="C83:C85" r:id="rId41" display="P300"/>
    <hyperlink ref="C91" r:id="rId42"/>
    <hyperlink ref="C110:C111" r:id="rId43" display="Red NAS"/>
    <hyperlink ref="C75" r:id="rId44"/>
    <hyperlink ref="C76:C77" r:id="rId45" display="Enterprise Capacity"/>
    <hyperlink ref="C78" r:id="rId46"/>
    <hyperlink ref="C79" r:id="rId47"/>
    <hyperlink ref="C67" r:id="rId48" location="pro-specs"/>
    <hyperlink ref="C73" r:id="rId49" location="pro-specs"/>
    <hyperlink ref="W90" r:id="rId50" display="https://www.newegg.com/Product/Product.aspx?Item=9SIA5AD5YN7412&amp;utm_medium=Email&amp;utm_source=GD110617&amp;cm_mmc=EMC-GD110617-_-landing-_-Item-_-9SIA5AD5YN7412"/>
    <hyperlink ref="W96" r:id="rId51" display="https://www.newegg.com/Product/Product.aspx?Item=22-236-339&amp;utm_medium=Email&amp;utm_source=GD110617&amp;cm_mmc=EMC-GD110617-_-landing-_-Item-_-22-236-339"/>
    <hyperlink ref="W115" r:id="rId52" display="https://www.newegg.com/Product/Product.aspx?item=N82E16822236599"/>
    <hyperlink ref="W114" r:id="rId53" display="https://www.newegg.com/Product/Product.aspx?Item=N82E16822236344&amp;utm_medium=Email&amp;utm_source=IGNEFL112117&amp;cm_mmc=EMC-IGNEFL112117-_-EMC-112117-Index-_-DesktopInternalHardDrives-_-22236344-S1A3D&amp;ignorebbr=1"/>
    <hyperlink ref="W82" r:id="rId54" display="https://www.newegg.com/Product/Product.aspx?Item=N82E16822149695&amp;utm_medium=Email&amp;utm_source=IGNEFL110717&amp;cm_mmc=EMC-IGNEFL110717-_-EMC-110717-Index-_-DesktopInternalHardDrives-_-22149695-S1A2C&amp;ignorebbr=1"/>
    <hyperlink ref="W81" r:id="rId55" display="https://www.newegg.com/Product/Product.aspx?item=N82E16822149696"/>
    <hyperlink ref="W80" r:id="rId56" display="https://www.newegg.com/Product/Product.aspx?item=N82E16822149697"/>
    <hyperlink ref="W8" r:id="rId57" display="https://www.newegg.com/Product/Product.aspx?Item=22-145-881&amp;utm_medium=Email&amp;utm_source=GD110817&amp;cm_mmc=EMC-GD110817-_-landing-_-Item-_-22-145-881"/>
    <hyperlink ref="W14" r:id="rId58" display="https://www.newegg.com/Product/Product.aspx?Item=9SIA99462P4004"/>
    <hyperlink ref="W15" r:id="rId59" display="https://www.newegg.com/Product/Product.aspx?Item=9SIA99469N9136"/>
    <hyperlink ref="W16" r:id="rId60" display="https://www.newegg.com/Product/Product.aspx?Item=9SIA75M5XX1494"/>
    <hyperlink ref="W61" r:id="rId61" display="https://www.newegg.com/Product/Product.aspx?item=N82E16822179007"/>
    <hyperlink ref="AB16" r:id="rId62" display="32GB NAND, media caching"/>
    <hyperlink ref="AB18" r:id="rId63" display="Helium filled, media caching"/>
    <hyperlink ref="AB106" r:id="rId64" display="http://www.tomsitpro.com/articles/wd-hgst-8tb-hdd-gold,1-3248.html"/>
    <hyperlink ref="C13" r:id="rId65"/>
    <hyperlink ref="C17" r:id="rId66"/>
    <hyperlink ref="W17" r:id="rId67" display="https://www.goharddrive.com/HGST-Ultrastar-HE6-HUS726060ALA640-6TB-HDD-p/g01-1073.htm"/>
    <hyperlink ref="W95" r:id="rId68" display="https://www.newegg.com/Product/Product.aspx?Item=N82E16822235281&amp;utm_medium=Email&amp;utm_source=IGNEFL111417&amp;cm_mmc=EMC-IGNEFL111417-_-EMC-111417-Index-_-DesktopInternalHardDrives-_-22235281-S0&amp;ignorebbr=1"/>
    <hyperlink ref="W93" r:id="rId69" display="https://www.newegg.com/Product/Product.aspx?item=N82E16822236624"/>
    <hyperlink ref="W92" r:id="rId70" display="https://www.newegg.com/Product/Product.aspx?Item=N82E16822235089&amp;utm_medium=Email&amp;utm_source=IGNEFL112117&amp;cm_mmc=EMC-IGNEFL112117-_-EMC-112117-Index-_-LaptopInternalHardDrives-_-22235089-S1A3C&amp;ignorebbr=1"/>
    <hyperlink ref="W94" r:id="rId71" display="https://www.newegg.com/Product/Product.aspx?item=N82E16822235128"/>
    <hyperlink ref="W101" r:id="rId72" display="https://www.newegg.com/Product/Product.aspx?item=N82E16822236496"/>
    <hyperlink ref="W102" r:id="rId73" display="https://www.newegg.com/Product/Product.aspx?item=1B0-0020-000G1"/>
    <hyperlink ref="W111" r:id="rId74" display="https://www.newegg.com/Product/Product.aspx?item=N82E16822236600"/>
    <hyperlink ref="W110" r:id="rId75" display="https://www.newegg.com/Product/Product.aspx?item=N82E16822236601"/>
    <hyperlink ref="W71" r:id="rId76" display="https://www.newegg.com/Product/Product.aspx?item=N82E16822179131"/>
    <hyperlink ref="W72" r:id="rId77" display="https://www.newegg.com/Product/Product.aspx?item=N82E16822179103"/>
    <hyperlink ref="W73" r:id="rId78" display="https://www.newegg.com/Product/Product.aspx?item=N82E16822172026"/>
    <hyperlink ref="W70" r:id="rId79" display="https://www.newegg.com/Product/Product.aspx?item=N82E16822179100"/>
    <hyperlink ref="W69" r:id="rId80" display="https://www.newegg.com/Product/Product.aspx?item=N82E16822179101"/>
    <hyperlink ref="W68" r:id="rId81" display="https://www.newegg.com/Product/Product.aspx?item=N82E16822179102"/>
    <hyperlink ref="W66" r:id="rId82" display="https://www.newegg.com/Product/Product.aspx?item=N82E16822178997"/>
    <hyperlink ref="W67" r:id="rId83" display="https://www.newegg.com/Product/Product.aspx?Item=N82E16822172025&amp;utm_medium=Email&amp;utm_source=EXPRESS112517&amp;cm_mmc=EMC-EXPRESS112517-_-EMC-112517-Index-_-DesktopInternalHardDrives-_-22172025-S1A3A&amp;ignorebbr=1"/>
    <hyperlink ref="W65" r:id="rId84" display="https://www.newegg.com/Product/Product.aspx?item=N82E16822179003"/>
    <hyperlink ref="W64" r:id="rId85" display="https://www.newegg.com/Product/Product.aspx?item=N82E16822179004"/>
    <hyperlink ref="W63" r:id="rId86" display="https://www.newegg.com/Product/Product.aspx?item=N82E16822179004"/>
    <hyperlink ref="W62" r:id="rId87" display="https://www.newegg.com/Product/Product.aspx?item=N82E16822179006"/>
    <hyperlink ref="W60" r:id="rId88" display="https://www.newegg.com/Product/Product.aspx?item=N82E16822179008"/>
    <hyperlink ref="W12" r:id="rId89" display="https://www.newegg.com/Product/Product.aspx?item=N82E16822146076"/>
    <hyperlink ref="W10" r:id="rId90" display="https://www.newegg.com/Product/Product.aspx?item=N82E16822146071"/>
    <hyperlink ref="W9" r:id="rId91" display="https://www.newegg.com/Product/Product.aspx?item=N82E16822146067"/>
    <hyperlink ref="W11" r:id="rId92" display="https://www.newegg.com/Product/Product.aspx?Item=9SIA25V4XG7457&amp;cm_re=Ultrastar_7K6000_5tb-_-9SIA25V4XG7457-_-Product"/>
    <hyperlink ref="W108" r:id="rId93" display="https://www.newegg.com/Product/Product.aspx?Item=N82E16822235131&amp;cm_re=wd_gold_enterprise-_-22-235-131-_-Product"/>
    <hyperlink ref="W109" r:id="rId94" display="https://www.newegg.com/Product/Product.aspx?item=N82E16822232560"/>
    <hyperlink ref="W107" r:id="rId95" display="https://www.newegg.com/Product/Product.aspx?item=N82E16822232558"/>
    <hyperlink ref="W106" r:id="rId96" display="https://www.newegg.com/Product/Product.aspx?item=N82E16822235058"/>
    <hyperlink ref="W105" r:id="rId97" display="https://www.amazon.com/Gold-Enterprise-Class-Hard-Drive/dp/B01AV1697A?SubscriptionId=AKIAILSHYYTFIVPWUY6Q&amp;tag=duckduckgo-ffsb-20&amp;linkCode=xm2&amp;camp=2025&amp;creative=165953&amp;creativeASIN=B01AV1697A&amp;th=1"/>
    <hyperlink ref="W104" r:id="rId98" display="http://www.newegg.com/Product/Product.aspx?Item=1Z4-0002-002V0&amp;utm_medium=Email&amp;utm_source=IGNEFL112217&amp;cm_mmc=EMC-IGNEFL112217-_-EMC-112217-Index-_-DesktopInternalHardDrives-_-1Z4-0002-002V0-S1A1D&amp;ignorebbr=1"/>
    <hyperlink ref="W103" r:id="rId99" display="https://www.newegg.com/Product/Product.aspx?item=1Z4-0002-002U9"/>
    <hyperlink ref="W26" r:id="rId100" display="http://promotions.newegg.com/NEemail/Nov-0-2017/BlackFridayElites_pr9d7gfu_21/index-landing.html?utm_medium=Email&amp;utm_source=IGNEFL112117&amp;cm_mmc=EMC-IGNEFL112117-_-EMC-112117-Index-_-Header-_-ClickHere&amp;et_cid=39611&amp;et_rid=9494051&amp;et_p1=&amp;email64=YnVkYW1hcm"/>
    <hyperlink ref="W4" r:id="rId101" display="https://www.newegg.com/Product/Product.aspx?Item=N82E16822146118&amp;utm_medium=Email&amp;utm_source=IGNEFL112117&amp;cm_mmc=EMC-IGNEFL112117-_-EMC-112117-Index-_-DesktopInternalHardDrives-_-22146118-S0G&amp;ignorebbr=1"/>
    <hyperlink ref="W23" r:id="rId102" display="https://www.newegg.com/Product/Product.aspx?item=N82E16822178750"/>
    <hyperlink ref="W24" r:id="rId103" display="https://www.newegg.com/Product/Product.aspx?item=N82E16822178748"/>
    <hyperlink ref="W22" r:id="rId104" display="https://www.newegg.com/Product/Product.aspx?item=9SIA4A04NB8762"/>
    <hyperlink ref="C22" r:id="rId105"/>
    <hyperlink ref="C23" r:id="rId106"/>
    <hyperlink ref="C24" r:id="rId107"/>
    <hyperlink ref="Q21" r:id="rId108" display="http://www.hgst.com/sites/default/files/resources/UltrastarHs14-SATA-OEMSpec-R1.0.pdf"/>
  </hyperlinks>
  <printOptions headings="1"/>
  <pageMargins left="0.3" right="0.3" top="0.75" bottom="0.75" header="0.3" footer="0.3"/>
  <pageSetup scale="44" fitToHeight="4" orientation="landscape" r:id="rId109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66 Q122 Q126:Q129" formula="1"/>
  </ignoredErrors>
  <drawing r:id="rId110"/>
  <legacyDrawing r:id="rId111"/>
  <tableParts count="1">
    <tablePart r:id="rId1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/>
  <cols>
    <col min="1" max="1" width="13.140625" customWidth="1"/>
    <col min="2" max="2" width="27.1406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>
      <c r="A2" s="90" t="s">
        <v>49</v>
      </c>
      <c r="B2" s="91" t="s">
        <v>50</v>
      </c>
    </row>
    <row r="3" spans="1:4">
      <c r="A3" s="90" t="s">
        <v>87</v>
      </c>
      <c r="B3" s="110">
        <v>3.5</v>
      </c>
    </row>
    <row r="4" spans="1:4">
      <c r="A4" s="190" t="s">
        <v>84</v>
      </c>
      <c r="B4" s="191"/>
    </row>
    <row r="5" spans="1:4">
      <c r="A5" s="94" t="s">
        <v>78</v>
      </c>
      <c r="B5" s="95" t="s">
        <v>82</v>
      </c>
    </row>
    <row r="6" spans="1:4">
      <c r="A6" s="93">
        <v>0.9</v>
      </c>
      <c r="B6" s="92">
        <v>0</v>
      </c>
    </row>
    <row r="7" spans="1:4">
      <c r="A7" s="93">
        <v>1</v>
      </c>
      <c r="B7" s="92">
        <v>13.386959999999998</v>
      </c>
    </row>
    <row r="8" spans="1:4">
      <c r="A8" s="93">
        <v>2</v>
      </c>
      <c r="B8" s="92">
        <v>14.578944999999999</v>
      </c>
    </row>
    <row r="9" spans="1:4">
      <c r="A9" s="93">
        <v>3</v>
      </c>
      <c r="B9" s="92">
        <v>7.9291866666666655</v>
      </c>
    </row>
    <row r="10" spans="1:4">
      <c r="A10" s="93">
        <v>4</v>
      </c>
      <c r="B10" s="92">
        <v>8.8935838888888892</v>
      </c>
      <c r="D10" s="88"/>
    </row>
    <row r="11" spans="1:4">
      <c r="A11" s="93">
        <v>5</v>
      </c>
      <c r="B11" s="92">
        <v>12.032</v>
      </c>
    </row>
    <row r="12" spans="1:4">
      <c r="A12" s="93">
        <v>6</v>
      </c>
      <c r="B12" s="92">
        <v>7.7857242424242425</v>
      </c>
    </row>
    <row r="13" spans="1:4">
      <c r="A13" s="93">
        <v>8</v>
      </c>
      <c r="B13" s="92">
        <v>7.4468315</v>
      </c>
    </row>
    <row r="14" spans="1:4">
      <c r="A14" s="93">
        <v>10</v>
      </c>
      <c r="B14" s="92">
        <v>6.7123085000000007</v>
      </c>
    </row>
    <row r="15" spans="1:4">
      <c r="A15" s="93">
        <v>12</v>
      </c>
      <c r="B15" s="92">
        <v>8.8520593333333331</v>
      </c>
    </row>
    <row r="16" spans="1:4">
      <c r="A16" s="96" t="s">
        <v>83</v>
      </c>
      <c r="B16" s="92">
        <v>9.2065743387978163</v>
      </c>
    </row>
    <row r="20" spans="1:2">
      <c r="A20" s="90" t="s">
        <v>49</v>
      </c>
      <c r="B20" s="91" t="s">
        <v>50</v>
      </c>
    </row>
    <row r="21" spans="1:2">
      <c r="A21" s="90" t="s">
        <v>87</v>
      </c>
      <c r="B21" s="110">
        <v>3.5</v>
      </c>
    </row>
    <row r="22" spans="1:2">
      <c r="A22" s="195" t="s">
        <v>93</v>
      </c>
      <c r="B22" s="196"/>
    </row>
    <row r="23" spans="1:2">
      <c r="A23" s="90" t="s">
        <v>78</v>
      </c>
      <c r="B23" s="91" t="s">
        <v>85</v>
      </c>
    </row>
    <row r="24" spans="1:2">
      <c r="A24" s="93">
        <v>0.9</v>
      </c>
      <c r="B24" s="99">
        <v>7.4021973333333335</v>
      </c>
    </row>
    <row r="25" spans="1:2">
      <c r="A25" s="93">
        <v>1</v>
      </c>
      <c r="B25" s="99">
        <v>3.5444350560000002</v>
      </c>
    </row>
    <row r="26" spans="1:2">
      <c r="A26" s="93">
        <v>2</v>
      </c>
      <c r="B26" s="99">
        <v>2.4965980200000004</v>
      </c>
    </row>
    <row r="27" spans="1:2">
      <c r="A27" s="93">
        <v>3</v>
      </c>
      <c r="B27" s="99">
        <v>1.789676</v>
      </c>
    </row>
    <row r="28" spans="1:2">
      <c r="A28" s="93">
        <v>4</v>
      </c>
      <c r="B28" s="99">
        <v>1.6106475266666669</v>
      </c>
    </row>
    <row r="29" spans="1:2">
      <c r="A29" s="93">
        <v>5</v>
      </c>
      <c r="B29" s="99">
        <v>1.23597216</v>
      </c>
    </row>
    <row r="30" spans="1:2">
      <c r="A30" s="93">
        <v>6</v>
      </c>
      <c r="B30" s="99">
        <v>1.1997469927272728</v>
      </c>
    </row>
    <row r="31" spans="1:2">
      <c r="A31" s="93">
        <v>8</v>
      </c>
      <c r="B31" s="99">
        <v>0.85959234000000007</v>
      </c>
    </row>
    <row r="32" spans="1:2">
      <c r="A32" s="93">
        <v>10</v>
      </c>
      <c r="B32" s="99">
        <v>0.57497907000000004</v>
      </c>
    </row>
    <row r="33" spans="1:2">
      <c r="A33" s="93">
        <v>12</v>
      </c>
      <c r="B33" s="99">
        <v>0.50695312000000003</v>
      </c>
    </row>
    <row r="34" spans="1:2">
      <c r="A34" s="110" t="s">
        <v>86</v>
      </c>
      <c r="B34" s="99">
        <v>1.5542208921505378</v>
      </c>
    </row>
    <row r="38" spans="1:2">
      <c r="A38" s="90" t="s">
        <v>49</v>
      </c>
      <c r="B38" s="91" t="s">
        <v>50</v>
      </c>
    </row>
    <row r="39" spans="1:2">
      <c r="A39" s="90" t="s">
        <v>87</v>
      </c>
      <c r="B39" s="110">
        <v>3.5</v>
      </c>
    </row>
    <row r="40" spans="1:2">
      <c r="A40" s="193" t="s">
        <v>95</v>
      </c>
      <c r="B40" s="194"/>
    </row>
    <row r="41" spans="1:2">
      <c r="A41" s="90" t="s">
        <v>78</v>
      </c>
      <c r="B41" s="91" t="s">
        <v>94</v>
      </c>
    </row>
    <row r="42" spans="1:2">
      <c r="A42" s="93">
        <v>0.9</v>
      </c>
      <c r="B42" s="99">
        <v>6.6619776000000002</v>
      </c>
    </row>
    <row r="43" spans="1:2">
      <c r="A43" s="93">
        <v>1</v>
      </c>
      <c r="B43" s="99">
        <v>3.5444350560000002</v>
      </c>
    </row>
    <row r="44" spans="1:2">
      <c r="A44" s="93">
        <v>2</v>
      </c>
      <c r="B44" s="99">
        <v>4.9931960400000008</v>
      </c>
    </row>
    <row r="45" spans="1:2">
      <c r="A45" s="93">
        <v>3</v>
      </c>
      <c r="B45" s="99">
        <v>5.3690280000000001</v>
      </c>
    </row>
    <row r="46" spans="1:2">
      <c r="A46" s="93">
        <v>4</v>
      </c>
      <c r="B46" s="99">
        <v>6.4425901066666675</v>
      </c>
    </row>
    <row r="47" spans="1:2">
      <c r="A47" s="93">
        <v>5</v>
      </c>
      <c r="B47" s="99">
        <v>6.1798608000000002</v>
      </c>
    </row>
    <row r="48" spans="1:2">
      <c r="A48" s="93">
        <v>6</v>
      </c>
      <c r="B48" s="99">
        <v>7.1984819563636364</v>
      </c>
    </row>
    <row r="49" spans="1:3">
      <c r="A49" s="93">
        <v>8</v>
      </c>
      <c r="B49" s="99">
        <v>6.8767387200000005</v>
      </c>
    </row>
    <row r="50" spans="1:3">
      <c r="A50" s="93">
        <v>10</v>
      </c>
      <c r="B50" s="99">
        <v>5.7497907000000001</v>
      </c>
    </row>
    <row r="51" spans="1:3">
      <c r="A51" s="93">
        <v>12</v>
      </c>
      <c r="B51" s="99">
        <v>6.08343744</v>
      </c>
    </row>
    <row r="52" spans="1:3">
      <c r="A52" s="110" t="s">
        <v>86</v>
      </c>
      <c r="B52" s="99">
        <v>6.0507425690322592</v>
      </c>
    </row>
    <row r="57" spans="1:3">
      <c r="A57" s="97" t="s">
        <v>49</v>
      </c>
      <c r="B57" t="s">
        <v>50</v>
      </c>
    </row>
    <row r="58" spans="1:3">
      <c r="A58" s="97" t="s">
        <v>87</v>
      </c>
      <c r="B58" s="98">
        <v>3.5</v>
      </c>
      <c r="C58" s="109"/>
    </row>
    <row r="59" spans="1:3">
      <c r="A59" s="192" t="s">
        <v>98</v>
      </c>
      <c r="B59" s="192"/>
    </row>
    <row r="60" spans="1:3">
      <c r="A60" s="97" t="s">
        <v>78</v>
      </c>
      <c r="B60" t="s">
        <v>97</v>
      </c>
    </row>
    <row r="61" spans="1:3">
      <c r="A61" s="111">
        <v>5400</v>
      </c>
      <c r="B61" s="83">
        <v>48.425142291666674</v>
      </c>
    </row>
    <row r="62" spans="1:3">
      <c r="A62" s="112" t="s">
        <v>6</v>
      </c>
      <c r="B62" s="83">
        <v>48.425142291666674</v>
      </c>
    </row>
    <row r="63" spans="1:3">
      <c r="A63" s="111">
        <v>5760</v>
      </c>
      <c r="B63" s="83">
        <v>32.531300000000002</v>
      </c>
    </row>
    <row r="64" spans="1:3">
      <c r="A64" s="112" t="s">
        <v>6</v>
      </c>
      <c r="B64" s="83">
        <v>32.531300000000002</v>
      </c>
    </row>
    <row r="65" spans="1:2">
      <c r="A65" s="111">
        <v>5900</v>
      </c>
      <c r="B65" s="83">
        <v>53.727986666666666</v>
      </c>
    </row>
    <row r="66" spans="1:2">
      <c r="A66" s="112" t="s">
        <v>10</v>
      </c>
      <c r="B66" s="83">
        <v>53.727986666666666</v>
      </c>
    </row>
    <row r="67" spans="1:2">
      <c r="A67" s="111">
        <v>7200</v>
      </c>
      <c r="B67" s="83">
        <v>46.207594150326784</v>
      </c>
    </row>
    <row r="68" spans="1:2">
      <c r="A68" s="112" t="s">
        <v>15</v>
      </c>
      <c r="B68" s="83">
        <v>42.466988611111113</v>
      </c>
    </row>
    <row r="69" spans="1:2">
      <c r="A69" s="112" t="s">
        <v>10</v>
      </c>
      <c r="B69" s="83">
        <v>50.258681500000002</v>
      </c>
    </row>
    <row r="70" spans="1:2">
      <c r="A70" s="112" t="s">
        <v>42</v>
      </c>
      <c r="B70" s="83">
        <v>35.077648611111115</v>
      </c>
    </row>
    <row r="71" spans="1:2">
      <c r="A71" s="112" t="s">
        <v>6</v>
      </c>
      <c r="B71" s="83">
        <v>48.564916666666662</v>
      </c>
    </row>
    <row r="72" spans="1:2">
      <c r="A72" s="111">
        <v>15000</v>
      </c>
      <c r="B72" s="83">
        <v>0</v>
      </c>
    </row>
    <row r="73" spans="1:2">
      <c r="A73" s="112" t="s">
        <v>10</v>
      </c>
      <c r="B73" s="83">
        <v>0</v>
      </c>
    </row>
    <row r="74" spans="1:2">
      <c r="A74" s="111" t="s">
        <v>96</v>
      </c>
      <c r="B74" s="83">
        <v>46.13878292929293</v>
      </c>
    </row>
    <row r="77" spans="1:2">
      <c r="A77" s="97" t="s">
        <v>49</v>
      </c>
      <c r="B77" t="s">
        <v>50</v>
      </c>
    </row>
    <row r="78" spans="1:2">
      <c r="A78" s="97" t="s">
        <v>87</v>
      </c>
      <c r="B78" s="98">
        <v>3.5</v>
      </c>
    </row>
    <row r="79" spans="1:2">
      <c r="A79" s="97" t="s">
        <v>1</v>
      </c>
      <c r="B79" t="s">
        <v>124</v>
      </c>
    </row>
    <row r="80" spans="1:2">
      <c r="A80" s="97" t="s">
        <v>59</v>
      </c>
      <c r="B80" t="s">
        <v>105</v>
      </c>
    </row>
    <row r="82" spans="1:2">
      <c r="A82" s="97" t="s">
        <v>78</v>
      </c>
      <c r="B82" t="s">
        <v>104</v>
      </c>
    </row>
    <row r="83" spans="1:2">
      <c r="A83" s="98">
        <v>1</v>
      </c>
      <c r="B83" s="118">
        <v>14.399999999999999</v>
      </c>
    </row>
    <row r="84" spans="1:2">
      <c r="A84" s="119">
        <v>5400</v>
      </c>
      <c r="B84" s="118">
        <v>14.399999999999999</v>
      </c>
    </row>
    <row r="85" spans="1:2">
      <c r="A85" s="119">
        <v>5900</v>
      </c>
      <c r="B85" s="118">
        <v>14.399999999999999</v>
      </c>
    </row>
    <row r="86" spans="1:2">
      <c r="A86" s="98">
        <v>2</v>
      </c>
      <c r="B86" s="118">
        <v>22.89</v>
      </c>
    </row>
    <row r="87" spans="1:2">
      <c r="A87" s="119">
        <v>5400</v>
      </c>
      <c r="B87" s="118">
        <v>20.759999999999998</v>
      </c>
    </row>
    <row r="88" spans="1:2">
      <c r="A88" s="119">
        <v>5900</v>
      </c>
      <c r="B88" s="118">
        <v>24</v>
      </c>
    </row>
    <row r="89" spans="1:2">
      <c r="A89" s="119">
        <v>7200</v>
      </c>
      <c r="B89" s="118">
        <v>23.4</v>
      </c>
    </row>
    <row r="90" spans="1:2">
      <c r="A90" s="98">
        <v>3</v>
      </c>
      <c r="B90" s="118">
        <v>22.52</v>
      </c>
    </row>
    <row r="91" spans="1:2">
      <c r="A91" s="119">
        <v>5400</v>
      </c>
      <c r="B91" s="118">
        <v>20.759999999999998</v>
      </c>
    </row>
    <row r="92" spans="1:2">
      <c r="A92" s="119">
        <v>5900</v>
      </c>
      <c r="B92" s="118">
        <v>24</v>
      </c>
    </row>
    <row r="93" spans="1:2">
      <c r="A93" s="119">
        <v>7200</v>
      </c>
      <c r="B93" s="118">
        <v>22.799999999999997</v>
      </c>
    </row>
    <row r="94" spans="1:2">
      <c r="A94" s="98">
        <v>4</v>
      </c>
      <c r="B94" s="118">
        <v>23.679999999999996</v>
      </c>
    </row>
    <row r="95" spans="1:2">
      <c r="A95" s="119">
        <v>5400</v>
      </c>
      <c r="B95" s="118">
        <v>21</v>
      </c>
    </row>
    <row r="96" spans="1:2">
      <c r="A96" s="119">
        <v>5900</v>
      </c>
      <c r="B96" s="118">
        <v>22.8</v>
      </c>
    </row>
    <row r="97" spans="1:2">
      <c r="A97" s="119">
        <v>7200</v>
      </c>
      <c r="B97" s="118">
        <v>25.16</v>
      </c>
    </row>
    <row r="98" spans="1:2">
      <c r="A98" s="98">
        <v>5</v>
      </c>
      <c r="B98" s="118">
        <v>21</v>
      </c>
    </row>
    <row r="99" spans="1:2">
      <c r="A99" s="119">
        <v>5400</v>
      </c>
      <c r="B99" s="118">
        <v>21</v>
      </c>
    </row>
    <row r="100" spans="1:2">
      <c r="A100" s="98">
        <v>6</v>
      </c>
      <c r="B100" s="118">
        <v>23.616000000000003</v>
      </c>
    </row>
    <row r="101" spans="1:2">
      <c r="A101" s="119">
        <v>5400</v>
      </c>
      <c r="B101" s="118">
        <v>21</v>
      </c>
    </row>
    <row r="102" spans="1:2">
      <c r="A102" s="119">
        <v>5760</v>
      </c>
      <c r="B102" s="118"/>
    </row>
    <row r="103" spans="1:2">
      <c r="A103" s="119">
        <v>7200</v>
      </c>
      <c r="B103" s="118">
        <v>24.270000000000003</v>
      </c>
    </row>
    <row r="104" spans="1:2">
      <c r="A104" s="98">
        <v>8</v>
      </c>
      <c r="B104" s="118">
        <v>23.712</v>
      </c>
    </row>
    <row r="105" spans="1:2">
      <c r="A105" s="119">
        <v>5400</v>
      </c>
      <c r="B105" s="118">
        <v>21.48</v>
      </c>
    </row>
    <row r="106" spans="1:2">
      <c r="A106" s="119">
        <v>7200</v>
      </c>
      <c r="B106" s="118">
        <v>24.270000000000003</v>
      </c>
    </row>
    <row r="107" spans="1:2">
      <c r="A107" s="98">
        <v>10</v>
      </c>
      <c r="B107" s="118">
        <v>23.736000000000001</v>
      </c>
    </row>
    <row r="108" spans="1:2">
      <c r="A108" s="119">
        <v>5400</v>
      </c>
      <c r="B108" s="118">
        <v>21.48</v>
      </c>
    </row>
    <row r="109" spans="1:2">
      <c r="A109" s="119">
        <v>7200</v>
      </c>
      <c r="B109" s="118">
        <v>24.299999999999997</v>
      </c>
    </row>
    <row r="110" spans="1:2">
      <c r="A110" s="98">
        <v>12</v>
      </c>
      <c r="B110" s="118">
        <v>22.8</v>
      </c>
    </row>
    <row r="111" spans="1:2">
      <c r="A111" s="119">
        <v>7200</v>
      </c>
      <c r="B111" s="118">
        <v>22.8</v>
      </c>
    </row>
    <row r="112" spans="1:2">
      <c r="A112" s="98" t="s">
        <v>96</v>
      </c>
      <c r="B112" s="118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/>
  <cols>
    <col min="2" max="2" width="14.7109375" customWidth="1"/>
    <col min="3" max="3" width="12.140625" customWidth="1"/>
    <col min="4" max="4" width="12.140625" bestFit="1" customWidth="1"/>
  </cols>
  <sheetData>
    <row r="1" spans="1:1">
      <c r="A1" t="s">
        <v>123</v>
      </c>
    </row>
    <row r="18" spans="1:1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/>
  <sheetData>
    <row r="1" spans="1:28" s="2" customFormat="1" ht="15.75" thickBot="1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>
      <c r="D2" s="81" t="s">
        <v>50</v>
      </c>
      <c r="E2" s="82">
        <v>10</v>
      </c>
      <c r="T2" t="s">
        <v>71</v>
      </c>
    </row>
    <row r="4" spans="1:28">
      <c r="A4" s="83">
        <f>DVAR('Drive Table'!$A$2:$AB$125,"Cost",$A$1:$AB$2)</f>
        <v>2396.7260500000057</v>
      </c>
      <c r="B4" t="s">
        <v>76</v>
      </c>
    </row>
    <row r="5" spans="1:28">
      <c r="A5" s="83">
        <f>DAVERAGE('Drive Table'!$A$2:$AB$125,"Cost",$A$1:$AB$2)</f>
        <v>356.96250000000003</v>
      </c>
      <c r="B5" t="s">
        <v>72</v>
      </c>
    </row>
    <row r="6" spans="1:28">
      <c r="A6" s="83">
        <f>DMIN('Drive Table'!$A$2:$AB$125,"Cost",$A$1:$AB$2)</f>
        <v>299.99</v>
      </c>
      <c r="B6" t="s">
        <v>73</v>
      </c>
    </row>
    <row r="7" spans="1:28">
      <c r="A7" s="83">
        <f>DMAX('Drive Table'!$A$2:$AB$125,"Cost",$A$1:$AB$2)</f>
        <v>440.77</v>
      </c>
      <c r="B7" t="s">
        <v>74</v>
      </c>
    </row>
    <row r="8" spans="1:28">
      <c r="A8">
        <f>DCOUNTA('Drive Table'!$A$2:$AB$125,"Cost",$A$1:$AB$2)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2017-11-26T00:45:37Z</dcterms:modified>
</cp:coreProperties>
</file>