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showInkAnnotation="0" showPivotChartFilter="1"/>
  <bookViews>
    <workbookView xWindow="0" yWindow="0" windowWidth="21570" windowHeight="8595"/>
  </bookViews>
  <sheets>
    <sheet name="Drive Table" sheetId="1" r:id="rId1"/>
    <sheet name="Tables" sheetId="4" r:id="rId2"/>
    <sheet name="Charts" sheetId="2" r:id="rId3"/>
    <sheet name="Database" sheetId="3" r:id="rId4"/>
  </sheets>
  <definedNames>
    <definedName name="Active_Duty_Cycle">'Drive Table'!$D$133</definedName>
    <definedName name="CompareWarrYrs">'Drive Table'!$D$134</definedName>
    <definedName name="CostPerKWH">'Drive Table'!$D$132</definedName>
    <definedName name="Day_in_Year">'Drive Table'!$D$140</definedName>
    <definedName name="Days_In_Month">'Drive Table'!$D$139</definedName>
    <definedName name="Days_in_Year">'Drive Table'!$D$140</definedName>
    <definedName name="Hours_In_Day">'Drive Table'!$D$137</definedName>
    <definedName name="Hours_In_Month">'Drive Table'!$D$138</definedName>
    <definedName name="Incremental_Warr_Yr">'Drive Table'!$D$135</definedName>
    <definedName name="Months_In_Year">'Drive Table'!$D$141</definedName>
    <definedName name="Power_On_Hours_Year">'Drive Table'!$D$136</definedName>
    <definedName name="_xlnm.Print_Titles" localSheetId="0">'Drive Table'!$1:$2</definedName>
  </definedNames>
  <calcPr calcId="152511"/>
  <pivotCaches>
    <pivotCache cacheId="9" r:id="rId5"/>
    <pivotCache cacheId="14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71" i="1" l="1"/>
  <c r="Q64" i="1" l="1"/>
  <c r="Y70" i="1"/>
  <c r="Z70" i="1" s="1"/>
  <c r="AA70" i="1" s="1"/>
  <c r="X70" i="1"/>
  <c r="J70" i="1"/>
  <c r="Z64" i="1"/>
  <c r="AA64" i="1" s="1"/>
  <c r="X64" i="1"/>
  <c r="J64" i="1"/>
  <c r="P72" i="1"/>
  <c r="P73" i="1"/>
  <c r="P74" i="1"/>
  <c r="Y76" i="1"/>
  <c r="Z76" i="1" s="1"/>
  <c r="AA76" i="1" s="1"/>
  <c r="X76" i="1"/>
  <c r="P76" i="1"/>
  <c r="J76" i="1"/>
  <c r="Y75" i="1"/>
  <c r="Z75" i="1" s="1"/>
  <c r="AA75" i="1" s="1"/>
  <c r="X75" i="1"/>
  <c r="P75" i="1"/>
  <c r="J75" i="1"/>
  <c r="J72" i="1"/>
  <c r="J73" i="1"/>
  <c r="J74" i="1"/>
  <c r="X72" i="1"/>
  <c r="X73" i="1"/>
  <c r="X74" i="1"/>
  <c r="Y72" i="1"/>
  <c r="Z72" i="1" s="1"/>
  <c r="AA72" i="1" s="1"/>
  <c r="Y73" i="1"/>
  <c r="Z73" i="1" s="1"/>
  <c r="AA73" i="1" s="1"/>
  <c r="Y74" i="1"/>
  <c r="Z74" i="1" s="1"/>
  <c r="AA74" i="1" s="1"/>
  <c r="Y108" i="1"/>
  <c r="Z108" i="1" s="1"/>
  <c r="AA108" i="1" s="1"/>
  <c r="X108" i="1"/>
  <c r="P108" i="1"/>
  <c r="J108" i="1"/>
  <c r="Y107" i="1"/>
  <c r="Z107" i="1" s="1"/>
  <c r="AA107" i="1" s="1"/>
  <c r="X107" i="1"/>
  <c r="P107" i="1"/>
  <c r="J107" i="1"/>
  <c r="Y88" i="1"/>
  <c r="Z88" i="1" s="1"/>
  <c r="AA88" i="1" s="1"/>
  <c r="X88" i="1"/>
  <c r="Q88" i="1"/>
  <c r="P88" i="1"/>
  <c r="J88" i="1"/>
  <c r="W3" i="1" l="1"/>
  <c r="Y40" i="1" l="1"/>
  <c r="Z40" i="1" s="1"/>
  <c r="AA40" i="1" s="1"/>
  <c r="X40" i="1"/>
  <c r="P40" i="1"/>
  <c r="J40" i="1"/>
  <c r="Y39" i="1"/>
  <c r="Z39" i="1" s="1"/>
  <c r="AA39" i="1" s="1"/>
  <c r="X39" i="1"/>
  <c r="J39" i="1"/>
  <c r="Y38" i="1"/>
  <c r="Z38" i="1" s="1"/>
  <c r="AA38" i="1" s="1"/>
  <c r="X38" i="1"/>
  <c r="J38" i="1"/>
  <c r="Y37" i="1"/>
  <c r="Z37" i="1" s="1"/>
  <c r="AA37" i="1" s="1"/>
  <c r="X37" i="1"/>
  <c r="J37" i="1"/>
  <c r="Y52" i="1"/>
  <c r="Z52" i="1" s="1"/>
  <c r="AA52" i="1" s="1"/>
  <c r="X52" i="1"/>
  <c r="Q52" i="1"/>
  <c r="J52" i="1"/>
  <c r="Y51" i="1"/>
  <c r="Z51" i="1" s="1"/>
  <c r="AA51" i="1" s="1"/>
  <c r="X51" i="1"/>
  <c r="Q51" i="1"/>
  <c r="J51" i="1"/>
  <c r="Y50" i="1"/>
  <c r="Z50" i="1" s="1"/>
  <c r="AA50" i="1" s="1"/>
  <c r="X50" i="1"/>
  <c r="J50" i="1"/>
  <c r="Y44" i="1"/>
  <c r="Z44" i="1" s="1"/>
  <c r="AA44" i="1" s="1"/>
  <c r="X44" i="1"/>
  <c r="J44" i="1"/>
  <c r="Y43" i="1"/>
  <c r="Z43" i="1" s="1"/>
  <c r="AA43" i="1" s="1"/>
  <c r="X43" i="1"/>
  <c r="J43" i="1"/>
  <c r="J41" i="1"/>
  <c r="J42" i="1"/>
  <c r="X41" i="1"/>
  <c r="X42" i="1"/>
  <c r="Y41" i="1"/>
  <c r="Z41" i="1" s="1"/>
  <c r="AA41" i="1" s="1"/>
  <c r="Y42" i="1"/>
  <c r="Z42" i="1" s="1"/>
  <c r="AA42" i="1" s="1"/>
  <c r="U41" i="1"/>
  <c r="V41" i="1" s="1"/>
  <c r="U42" i="1"/>
  <c r="V42" i="1" s="1"/>
  <c r="J121" i="1" l="1"/>
  <c r="Q121" i="1"/>
  <c r="X121" i="1"/>
  <c r="Y121" i="1"/>
  <c r="Z121" i="1" s="1"/>
  <c r="AA121" i="1" s="1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45" i="1"/>
  <c r="X47" i="1"/>
  <c r="X49" i="1"/>
  <c r="X53" i="1"/>
  <c r="X54" i="1"/>
  <c r="X55" i="1"/>
  <c r="X56" i="1"/>
  <c r="X57" i="1"/>
  <c r="X58" i="1"/>
  <c r="X59" i="1"/>
  <c r="X60" i="1"/>
  <c r="X61" i="1"/>
  <c r="X62" i="1"/>
  <c r="X63" i="1"/>
  <c r="X65" i="1"/>
  <c r="X66" i="1"/>
  <c r="X67" i="1"/>
  <c r="X68" i="1"/>
  <c r="X69" i="1"/>
  <c r="X71" i="1"/>
  <c r="X77" i="1"/>
  <c r="X78" i="1"/>
  <c r="X79" i="1"/>
  <c r="X80" i="1"/>
  <c r="X81" i="1"/>
  <c r="X82" i="1"/>
  <c r="X83" i="1"/>
  <c r="X84" i="1"/>
  <c r="X85" i="1"/>
  <c r="X86" i="1"/>
  <c r="X87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2" i="1"/>
  <c r="Y3" i="1"/>
  <c r="Z3" i="1" s="1"/>
  <c r="Y4" i="1"/>
  <c r="Z4" i="1" s="1"/>
  <c r="Y5" i="1"/>
  <c r="Z5" i="1" s="1"/>
  <c r="Y6" i="1"/>
  <c r="Z6" i="1" s="1"/>
  <c r="Y7" i="1"/>
  <c r="Z7" i="1" s="1"/>
  <c r="Y8" i="1"/>
  <c r="Z8" i="1" s="1"/>
  <c r="Y9" i="1"/>
  <c r="Z9" i="1" s="1"/>
  <c r="Y10" i="1"/>
  <c r="Z10" i="1" s="1"/>
  <c r="Y11" i="1"/>
  <c r="Z11" i="1" s="1"/>
  <c r="Y12" i="1"/>
  <c r="Z12" i="1" s="1"/>
  <c r="Y13" i="1"/>
  <c r="Z13" i="1" s="1"/>
  <c r="Y14" i="1"/>
  <c r="Z14" i="1" s="1"/>
  <c r="Y15" i="1"/>
  <c r="Z15" i="1" s="1"/>
  <c r="Y16" i="1"/>
  <c r="Z16" i="1" s="1"/>
  <c r="Y17" i="1"/>
  <c r="Z17" i="1" s="1"/>
  <c r="Y18" i="1"/>
  <c r="Z18" i="1" s="1"/>
  <c r="Y19" i="1"/>
  <c r="Z19" i="1" s="1"/>
  <c r="Y20" i="1"/>
  <c r="Z20" i="1" s="1"/>
  <c r="Y21" i="1"/>
  <c r="Z21" i="1" s="1"/>
  <c r="Y22" i="1"/>
  <c r="Z22" i="1" s="1"/>
  <c r="Y23" i="1"/>
  <c r="Z23" i="1" s="1"/>
  <c r="Y24" i="1"/>
  <c r="Z24" i="1" s="1"/>
  <c r="Y25" i="1"/>
  <c r="Z25" i="1" s="1"/>
  <c r="Y26" i="1"/>
  <c r="Z26" i="1" s="1"/>
  <c r="Y27" i="1"/>
  <c r="Z27" i="1" s="1"/>
  <c r="Y28" i="1"/>
  <c r="Z28" i="1" s="1"/>
  <c r="Y29" i="1"/>
  <c r="Z29" i="1" s="1"/>
  <c r="Y30" i="1"/>
  <c r="Z30" i="1" s="1"/>
  <c r="Y31" i="1"/>
  <c r="Z31" i="1" s="1"/>
  <c r="Y32" i="1"/>
  <c r="Z32" i="1" s="1"/>
  <c r="Y33" i="1"/>
  <c r="Z33" i="1" s="1"/>
  <c r="Y34" i="1"/>
  <c r="Z34" i="1" s="1"/>
  <c r="Y35" i="1"/>
  <c r="Z35" i="1" s="1"/>
  <c r="Y36" i="1"/>
  <c r="Z36" i="1" s="1"/>
  <c r="Y45" i="1"/>
  <c r="Z45" i="1" s="1"/>
  <c r="Y47" i="1"/>
  <c r="Z47" i="1" s="1"/>
  <c r="Y49" i="1"/>
  <c r="Z49" i="1" s="1"/>
  <c r="Y53" i="1"/>
  <c r="Z53" i="1" s="1"/>
  <c r="Y54" i="1"/>
  <c r="Z54" i="1" s="1"/>
  <c r="Y55" i="1"/>
  <c r="Z55" i="1" s="1"/>
  <c r="Y56" i="1"/>
  <c r="Z56" i="1" s="1"/>
  <c r="Y57" i="1"/>
  <c r="Z57" i="1" s="1"/>
  <c r="Y58" i="1"/>
  <c r="Z58" i="1" s="1"/>
  <c r="Y59" i="1"/>
  <c r="Z59" i="1" s="1"/>
  <c r="Y60" i="1"/>
  <c r="Z60" i="1" s="1"/>
  <c r="Y61" i="1"/>
  <c r="Z61" i="1" s="1"/>
  <c r="Y62" i="1"/>
  <c r="Z62" i="1" s="1"/>
  <c r="Y63" i="1"/>
  <c r="Z63" i="1" s="1"/>
  <c r="Y65" i="1"/>
  <c r="Z65" i="1" s="1"/>
  <c r="Y66" i="1"/>
  <c r="Z66" i="1" s="1"/>
  <c r="Y67" i="1"/>
  <c r="Z67" i="1" s="1"/>
  <c r="Y68" i="1"/>
  <c r="Z68" i="1" s="1"/>
  <c r="Y69" i="1"/>
  <c r="Z69" i="1" s="1"/>
  <c r="Y71" i="1"/>
  <c r="Z71" i="1" s="1"/>
  <c r="Y77" i="1"/>
  <c r="Z77" i="1" s="1"/>
  <c r="Y78" i="1"/>
  <c r="Z78" i="1" s="1"/>
  <c r="Y79" i="1"/>
  <c r="Z79" i="1" s="1"/>
  <c r="Y80" i="1"/>
  <c r="Z80" i="1" s="1"/>
  <c r="Y81" i="1"/>
  <c r="Z81" i="1" s="1"/>
  <c r="Y82" i="1"/>
  <c r="Z82" i="1" s="1"/>
  <c r="Y83" i="1"/>
  <c r="Z83" i="1" s="1"/>
  <c r="Y84" i="1"/>
  <c r="Z84" i="1" s="1"/>
  <c r="Y85" i="1"/>
  <c r="Z85" i="1" s="1"/>
  <c r="Y86" i="1"/>
  <c r="Z86" i="1" s="1"/>
  <c r="Y87" i="1"/>
  <c r="Z87" i="1" s="1"/>
  <c r="Y89" i="1"/>
  <c r="Z89" i="1" s="1"/>
  <c r="Y90" i="1"/>
  <c r="Z90" i="1" s="1"/>
  <c r="Y91" i="1"/>
  <c r="Z91" i="1" s="1"/>
  <c r="Y92" i="1"/>
  <c r="Z92" i="1" s="1"/>
  <c r="Y93" i="1"/>
  <c r="Z93" i="1" s="1"/>
  <c r="Y94" i="1"/>
  <c r="Z94" i="1" s="1"/>
  <c r="Y95" i="1"/>
  <c r="Z95" i="1" s="1"/>
  <c r="Y96" i="1"/>
  <c r="Z96" i="1" s="1"/>
  <c r="Y97" i="1"/>
  <c r="Z97" i="1" s="1"/>
  <c r="Y98" i="1"/>
  <c r="Z98" i="1" s="1"/>
  <c r="Y99" i="1"/>
  <c r="Z99" i="1" s="1"/>
  <c r="Y100" i="1"/>
  <c r="Z100" i="1" s="1"/>
  <c r="Y101" i="1"/>
  <c r="Z101" i="1" s="1"/>
  <c r="Y102" i="1"/>
  <c r="Z102" i="1" s="1"/>
  <c r="Y103" i="1"/>
  <c r="Z103" i="1" s="1"/>
  <c r="Y104" i="1"/>
  <c r="Z104" i="1" s="1"/>
  <c r="Y105" i="1"/>
  <c r="Z105" i="1" s="1"/>
  <c r="Y106" i="1"/>
  <c r="Z106" i="1" s="1"/>
  <c r="Y109" i="1"/>
  <c r="Z109" i="1" s="1"/>
  <c r="Y110" i="1"/>
  <c r="Z110" i="1" s="1"/>
  <c r="Y111" i="1"/>
  <c r="Z111" i="1" s="1"/>
  <c r="Y112" i="1"/>
  <c r="Z112" i="1" s="1"/>
  <c r="Y113" i="1"/>
  <c r="Z113" i="1" s="1"/>
  <c r="Y114" i="1"/>
  <c r="Z114" i="1" s="1"/>
  <c r="Y115" i="1"/>
  <c r="Z115" i="1" s="1"/>
  <c r="Y116" i="1"/>
  <c r="Z116" i="1" s="1"/>
  <c r="Y117" i="1"/>
  <c r="Z117" i="1" s="1"/>
  <c r="Y118" i="1"/>
  <c r="Z118" i="1" s="1"/>
  <c r="Y119" i="1"/>
  <c r="Z119" i="1" s="1"/>
  <c r="Y120" i="1"/>
  <c r="Z120" i="1" s="1"/>
  <c r="Y122" i="1"/>
  <c r="Z122" i="1" s="1"/>
  <c r="AA15" i="1" l="1"/>
  <c r="J15" i="1"/>
  <c r="AA16" i="1"/>
  <c r="J16" i="1"/>
  <c r="AA14" i="1"/>
  <c r="J14" i="1"/>
  <c r="J20" i="1" l="1"/>
  <c r="AA20" i="1"/>
  <c r="J21" i="1"/>
  <c r="AA21" i="1"/>
  <c r="J22" i="1"/>
  <c r="P22" i="1"/>
  <c r="AA22" i="1"/>
  <c r="J23" i="1"/>
  <c r="P23" i="1"/>
  <c r="Q23" i="1"/>
  <c r="AA23" i="1"/>
  <c r="J24" i="1"/>
  <c r="P24" i="1"/>
  <c r="Q24" i="1"/>
  <c r="AA24" i="1"/>
  <c r="J25" i="1"/>
  <c r="P25" i="1"/>
  <c r="AA25" i="1"/>
  <c r="J26" i="1"/>
  <c r="P26" i="1"/>
  <c r="Q26" i="1"/>
  <c r="AA26" i="1"/>
  <c r="J27" i="1"/>
  <c r="P27" i="1"/>
  <c r="Q27" i="1"/>
  <c r="AA27" i="1"/>
  <c r="J28" i="1"/>
  <c r="P28" i="1"/>
  <c r="Q28" i="1"/>
  <c r="AA28" i="1"/>
  <c r="J29" i="1"/>
  <c r="P29" i="1"/>
  <c r="Q29" i="1"/>
  <c r="AA29" i="1"/>
  <c r="J30" i="1"/>
  <c r="P30" i="1"/>
  <c r="Q30" i="1"/>
  <c r="AA30" i="1"/>
  <c r="J31" i="1"/>
  <c r="AA31" i="1"/>
  <c r="J32" i="1"/>
  <c r="AA32" i="1"/>
  <c r="J33" i="1"/>
  <c r="AA33" i="1"/>
  <c r="J34" i="1"/>
  <c r="Q34" i="1"/>
  <c r="AA34" i="1"/>
  <c r="J35" i="1"/>
  <c r="Q35" i="1"/>
  <c r="AA35" i="1"/>
  <c r="J36" i="1"/>
  <c r="AA36" i="1"/>
  <c r="J45" i="1"/>
  <c r="AA45" i="1"/>
  <c r="J46" i="1"/>
  <c r="J47" i="1"/>
  <c r="AA47" i="1"/>
  <c r="X46" i="1" l="1"/>
  <c r="Y46" i="1"/>
  <c r="Z46" i="1" s="1"/>
  <c r="AA46" i="1" s="1"/>
  <c r="AA122" i="1"/>
  <c r="Q122" i="1"/>
  <c r="J122" i="1"/>
  <c r="A5" i="3"/>
  <c r="A6" i="3"/>
  <c r="A7" i="3"/>
  <c r="A4" i="3"/>
  <c r="A8" i="3"/>
  <c r="O124" i="1"/>
  <c r="S125" i="1"/>
  <c r="R125" i="1"/>
  <c r="S126" i="1"/>
  <c r="S123" i="1"/>
  <c r="R126" i="1"/>
  <c r="R123" i="1"/>
  <c r="S124" i="1"/>
  <c r="R124" i="1"/>
  <c r="E127" i="1"/>
  <c r="E126" i="1"/>
  <c r="E125" i="1"/>
  <c r="E124" i="1"/>
  <c r="E123" i="1"/>
  <c r="AA87" i="1" l="1"/>
  <c r="P87" i="1"/>
  <c r="J87" i="1"/>
  <c r="AA17" i="1"/>
  <c r="J17" i="1"/>
  <c r="AA7" i="1" l="1"/>
  <c r="J7" i="1"/>
  <c r="H124" i="1" l="1"/>
  <c r="A135" i="1" l="1"/>
  <c r="O123" i="1"/>
  <c r="AA106" i="1"/>
  <c r="J106" i="1"/>
  <c r="AA18" i="1"/>
  <c r="J18" i="1"/>
  <c r="O126" i="1"/>
  <c r="I125" i="1"/>
  <c r="I126" i="1"/>
  <c r="I124" i="1"/>
  <c r="I123" i="1"/>
  <c r="I127" i="1"/>
  <c r="AA19" i="1"/>
  <c r="J19" i="1"/>
  <c r="X48" i="1" l="1"/>
  <c r="Y48" i="1"/>
  <c r="Z48" i="1" s="1"/>
  <c r="O125" i="1"/>
  <c r="Q60" i="1"/>
  <c r="Q61" i="1"/>
  <c r="Q62" i="1"/>
  <c r="P58" i="1"/>
  <c r="P59" i="1"/>
  <c r="P60" i="1"/>
  <c r="P57" i="1"/>
  <c r="AA83" i="1" l="1"/>
  <c r="J83" i="1"/>
  <c r="AA86" i="1"/>
  <c r="J86" i="1"/>
  <c r="AA85" i="1"/>
  <c r="J85" i="1"/>
  <c r="AA84" i="1"/>
  <c r="J84" i="1"/>
  <c r="H127" i="1" l="1"/>
  <c r="H126" i="1"/>
  <c r="H125" i="1"/>
  <c r="H123" i="1"/>
  <c r="AA49" i="1" l="1"/>
  <c r="J49" i="1"/>
  <c r="AA6" i="1" l="1"/>
  <c r="Q6" i="1"/>
  <c r="P6" i="1"/>
  <c r="J6" i="1"/>
  <c r="P5" i="1"/>
  <c r="P4" i="1"/>
  <c r="P3" i="1"/>
  <c r="P78" i="1" l="1"/>
  <c r="P79" i="1"/>
  <c r="P77" i="1"/>
  <c r="N126" i="1"/>
  <c r="N125" i="1"/>
  <c r="N124" i="1"/>
  <c r="N123" i="1"/>
  <c r="M126" i="1"/>
  <c r="M125" i="1"/>
  <c r="M124" i="1"/>
  <c r="M123" i="1"/>
  <c r="L126" i="1"/>
  <c r="L125" i="1"/>
  <c r="L124" i="1"/>
  <c r="L123" i="1"/>
  <c r="K126" i="1"/>
  <c r="K125" i="1"/>
  <c r="K124" i="1"/>
  <c r="K123" i="1"/>
  <c r="F127" i="1"/>
  <c r="F126" i="1"/>
  <c r="F125" i="1"/>
  <c r="F124" i="1"/>
  <c r="F123" i="1"/>
  <c r="A132" i="1"/>
  <c r="P92" i="1"/>
  <c r="P91" i="1"/>
  <c r="P90" i="1"/>
  <c r="P89" i="1"/>
  <c r="P98" i="1"/>
  <c r="P99" i="1"/>
  <c r="P97" i="1"/>
  <c r="P96" i="1"/>
  <c r="P95" i="1"/>
  <c r="P94" i="1"/>
  <c r="P93" i="1"/>
  <c r="K127" i="1"/>
  <c r="P110" i="1"/>
  <c r="P111" i="1"/>
  <c r="P112" i="1"/>
  <c r="P113" i="1"/>
  <c r="P114" i="1"/>
  <c r="P115" i="1"/>
  <c r="P116" i="1"/>
  <c r="P109" i="1"/>
  <c r="M127" i="1"/>
  <c r="N127" i="1"/>
  <c r="O127" i="1"/>
  <c r="D139" i="1"/>
  <c r="D138" i="1" s="1"/>
  <c r="D136" i="1"/>
  <c r="U75" i="1" s="1"/>
  <c r="V75" i="1" s="1"/>
  <c r="AA99" i="1"/>
  <c r="J99" i="1"/>
  <c r="AA98" i="1"/>
  <c r="J98" i="1"/>
  <c r="Q94" i="1"/>
  <c r="Q95" i="1"/>
  <c r="Q96" i="1"/>
  <c r="Q97" i="1"/>
  <c r="Q111" i="1"/>
  <c r="Q119" i="1"/>
  <c r="Q120" i="1"/>
  <c r="Q112" i="1"/>
  <c r="Q114" i="1"/>
  <c r="Q115" i="1"/>
  <c r="Q116" i="1"/>
  <c r="U64" i="1" l="1"/>
  <c r="V64" i="1" s="1"/>
  <c r="U70" i="1"/>
  <c r="V70" i="1" s="1"/>
  <c r="U73" i="1"/>
  <c r="V73" i="1" s="1"/>
  <c r="U76" i="1"/>
  <c r="V76" i="1" s="1"/>
  <c r="U74" i="1"/>
  <c r="V74" i="1" s="1"/>
  <c r="U72" i="1"/>
  <c r="V72" i="1" s="1"/>
  <c r="U107" i="1"/>
  <c r="V107" i="1" s="1"/>
  <c r="U108" i="1"/>
  <c r="V108" i="1" s="1"/>
  <c r="U40" i="1"/>
  <c r="V40" i="1" s="1"/>
  <c r="U88" i="1"/>
  <c r="V88" i="1" s="1"/>
  <c r="U39" i="1"/>
  <c r="V39" i="1" s="1"/>
  <c r="U38" i="1"/>
  <c r="V38" i="1" s="1"/>
  <c r="U37" i="1"/>
  <c r="V37" i="1" s="1"/>
  <c r="U52" i="1"/>
  <c r="V52" i="1" s="1"/>
  <c r="U50" i="1"/>
  <c r="V50" i="1" s="1"/>
  <c r="U51" i="1"/>
  <c r="V51" i="1" s="1"/>
  <c r="U44" i="1"/>
  <c r="V44" i="1" s="1"/>
  <c r="U43" i="1"/>
  <c r="V43" i="1" s="1"/>
  <c r="U121" i="1"/>
  <c r="V121" i="1" s="1"/>
  <c r="U15" i="1"/>
  <c r="V15" i="1" s="1"/>
  <c r="U14" i="1"/>
  <c r="V14" i="1" s="1"/>
  <c r="U16" i="1"/>
  <c r="V16" i="1" s="1"/>
  <c r="U20" i="1"/>
  <c r="V20" i="1" s="1"/>
  <c r="U26" i="1"/>
  <c r="V26" i="1" s="1"/>
  <c r="U27" i="1"/>
  <c r="V27" i="1" s="1"/>
  <c r="U28" i="1"/>
  <c r="V28" i="1" s="1"/>
  <c r="U30" i="1"/>
  <c r="V30" i="1" s="1"/>
  <c r="U31" i="1"/>
  <c r="V31" i="1" s="1"/>
  <c r="U33" i="1"/>
  <c r="V33" i="1" s="1"/>
  <c r="U34" i="1"/>
  <c r="V34" i="1" s="1"/>
  <c r="U35" i="1"/>
  <c r="V35" i="1" s="1"/>
  <c r="U47" i="1"/>
  <c r="V47" i="1" s="1"/>
  <c r="U29" i="1"/>
  <c r="V29" i="1" s="1"/>
  <c r="U45" i="1"/>
  <c r="V45" i="1" s="1"/>
  <c r="U24" i="1"/>
  <c r="V24" i="1" s="1"/>
  <c r="U21" i="1"/>
  <c r="V21" i="1" s="1"/>
  <c r="U22" i="1"/>
  <c r="V22" i="1" s="1"/>
  <c r="U23" i="1"/>
  <c r="V23" i="1" s="1"/>
  <c r="U32" i="1"/>
  <c r="V32" i="1" s="1"/>
  <c r="U25" i="1"/>
  <c r="V25" i="1" s="1"/>
  <c r="U46" i="1"/>
  <c r="V46" i="1" s="1"/>
  <c r="U122" i="1"/>
  <c r="V122" i="1" s="1"/>
  <c r="U87" i="1"/>
  <c r="V87" i="1" s="1"/>
  <c r="P124" i="1"/>
  <c r="P123" i="1"/>
  <c r="P125" i="1"/>
  <c r="P126" i="1"/>
  <c r="U17" i="1"/>
  <c r="V17" i="1" s="1"/>
  <c r="U18" i="1"/>
  <c r="V18" i="1" s="1"/>
  <c r="U106" i="1"/>
  <c r="V106" i="1" s="1"/>
  <c r="U19" i="1"/>
  <c r="V19" i="1" s="1"/>
  <c r="U98" i="1"/>
  <c r="V98" i="1" s="1"/>
  <c r="U49" i="1"/>
  <c r="V49" i="1" s="1"/>
  <c r="P127" i="1"/>
  <c r="U94" i="1"/>
  <c r="V94" i="1" s="1"/>
  <c r="U99" i="1"/>
  <c r="V99" i="1" s="1"/>
  <c r="U95" i="1"/>
  <c r="V95" i="1" s="1"/>
  <c r="U116" i="1"/>
  <c r="V116" i="1" s="1"/>
  <c r="U96" i="1"/>
  <c r="V96" i="1" s="1"/>
  <c r="U97" i="1"/>
  <c r="V97" i="1" s="1"/>
  <c r="AA116" i="1"/>
  <c r="J116" i="1"/>
  <c r="AA80" i="1" l="1"/>
  <c r="J80" i="1"/>
  <c r="AA81" i="1"/>
  <c r="J81" i="1"/>
  <c r="AA82" i="1"/>
  <c r="J82" i="1"/>
  <c r="L127" i="1" l="1"/>
  <c r="U9" i="1" l="1"/>
  <c r="U115" i="1"/>
  <c r="V115" i="1" s="1"/>
  <c r="U111" i="1"/>
  <c r="V111" i="1" s="1"/>
  <c r="U104" i="1"/>
  <c r="V104" i="1" s="1"/>
  <c r="U100" i="1"/>
  <c r="V100" i="1" s="1"/>
  <c r="U91" i="1"/>
  <c r="V91" i="1" s="1"/>
  <c r="U78" i="1"/>
  <c r="V78" i="1" s="1"/>
  <c r="U68" i="1"/>
  <c r="V68" i="1" s="1"/>
  <c r="U63" i="1"/>
  <c r="V63" i="1" s="1"/>
  <c r="U59" i="1"/>
  <c r="V59" i="1" s="1"/>
  <c r="U55" i="1"/>
  <c r="V55" i="1" s="1"/>
  <c r="U13" i="1"/>
  <c r="V13" i="1" s="1"/>
  <c r="U120" i="1"/>
  <c r="V120" i="1" s="1"/>
  <c r="U117" i="1"/>
  <c r="V117" i="1" s="1"/>
  <c r="U112" i="1"/>
  <c r="V112" i="1" s="1"/>
  <c r="U105" i="1"/>
  <c r="V105" i="1" s="1"/>
  <c r="U101" i="1"/>
  <c r="V101" i="1" s="1"/>
  <c r="U69" i="1"/>
  <c r="V69" i="1" s="1"/>
  <c r="U60" i="1"/>
  <c r="V60" i="1" s="1"/>
  <c r="U119" i="1"/>
  <c r="V119" i="1" s="1"/>
  <c r="U114" i="1"/>
  <c r="V114" i="1" s="1"/>
  <c r="U110" i="1"/>
  <c r="V110" i="1" s="1"/>
  <c r="U103" i="1"/>
  <c r="V103" i="1" s="1"/>
  <c r="U90" i="1"/>
  <c r="V90" i="1" s="1"/>
  <c r="U77" i="1"/>
  <c r="V77" i="1" s="1"/>
  <c r="U67" i="1"/>
  <c r="V67" i="1" s="1"/>
  <c r="U62" i="1"/>
  <c r="V62" i="1" s="1"/>
  <c r="U58" i="1"/>
  <c r="V58" i="1" s="1"/>
  <c r="U54" i="1"/>
  <c r="V54" i="1" s="1"/>
  <c r="U48" i="1"/>
  <c r="V48" i="1" s="1"/>
  <c r="U12" i="1"/>
  <c r="V12" i="1" s="1"/>
  <c r="U79" i="1"/>
  <c r="V79" i="1" s="1"/>
  <c r="U65" i="1"/>
  <c r="V65" i="1" s="1"/>
  <c r="U56" i="1"/>
  <c r="V56" i="1" s="1"/>
  <c r="U10" i="1"/>
  <c r="V10" i="1" s="1"/>
  <c r="U118" i="1"/>
  <c r="V118" i="1" s="1"/>
  <c r="U113" i="1"/>
  <c r="V113" i="1" s="1"/>
  <c r="U109" i="1"/>
  <c r="V109" i="1" s="1"/>
  <c r="U102" i="1"/>
  <c r="V102" i="1" s="1"/>
  <c r="U92" i="1"/>
  <c r="V92" i="1" s="1"/>
  <c r="U89" i="1"/>
  <c r="V89" i="1" s="1"/>
  <c r="U71" i="1"/>
  <c r="V71" i="1" s="1"/>
  <c r="U66" i="1"/>
  <c r="V66" i="1" s="1"/>
  <c r="U61" i="1"/>
  <c r="V61" i="1" s="1"/>
  <c r="U57" i="1"/>
  <c r="V57" i="1" s="1"/>
  <c r="U53" i="1"/>
  <c r="V53" i="1" s="1"/>
  <c r="U11" i="1"/>
  <c r="V11" i="1" s="1"/>
  <c r="V9" i="1" l="1"/>
  <c r="V127" i="1" s="1"/>
  <c r="U127" i="1"/>
  <c r="U123" i="1"/>
  <c r="U126" i="1"/>
  <c r="U125" i="1"/>
  <c r="U124" i="1"/>
  <c r="S127" i="1" l="1"/>
  <c r="J3" i="1"/>
  <c r="J4" i="1"/>
  <c r="J5" i="1"/>
  <c r="J8" i="1"/>
  <c r="J9" i="1"/>
  <c r="J10" i="1"/>
  <c r="J11" i="1"/>
  <c r="J12" i="1"/>
  <c r="J13" i="1"/>
  <c r="J48" i="1"/>
  <c r="J53" i="1"/>
  <c r="J54" i="1"/>
  <c r="J55" i="1"/>
  <c r="J56" i="1"/>
  <c r="J57" i="1"/>
  <c r="J58" i="1"/>
  <c r="J59" i="1"/>
  <c r="J60" i="1"/>
  <c r="J61" i="1"/>
  <c r="J62" i="1"/>
  <c r="J63" i="1"/>
  <c r="J65" i="1"/>
  <c r="J66" i="1"/>
  <c r="J67" i="1"/>
  <c r="J68" i="1"/>
  <c r="J69" i="1"/>
  <c r="J71" i="1"/>
  <c r="J77" i="1"/>
  <c r="J78" i="1"/>
  <c r="J79" i="1"/>
  <c r="J89" i="1"/>
  <c r="J90" i="1"/>
  <c r="J91" i="1"/>
  <c r="J92" i="1"/>
  <c r="J93" i="1"/>
  <c r="J94" i="1"/>
  <c r="J95" i="1"/>
  <c r="J96" i="1"/>
  <c r="J97" i="1"/>
  <c r="J100" i="1"/>
  <c r="J101" i="1"/>
  <c r="J102" i="1"/>
  <c r="J103" i="1"/>
  <c r="J104" i="1"/>
  <c r="J105" i="1"/>
  <c r="J109" i="1"/>
  <c r="J110" i="1"/>
  <c r="J111" i="1"/>
  <c r="J112" i="1"/>
  <c r="J113" i="1"/>
  <c r="J114" i="1"/>
  <c r="J115" i="1"/>
  <c r="J117" i="1"/>
  <c r="J118" i="1"/>
  <c r="J119" i="1"/>
  <c r="J120" i="1"/>
  <c r="AA4" i="1"/>
  <c r="AA5" i="1"/>
  <c r="AA8" i="1"/>
  <c r="AA9" i="1"/>
  <c r="AA10" i="1"/>
  <c r="AA11" i="1"/>
  <c r="AA12" i="1"/>
  <c r="AA13" i="1"/>
  <c r="AA48" i="1"/>
  <c r="AA53" i="1"/>
  <c r="AA54" i="1"/>
  <c r="AA55" i="1"/>
  <c r="AA56" i="1"/>
  <c r="AA57" i="1"/>
  <c r="AA58" i="1"/>
  <c r="AA59" i="1"/>
  <c r="AA60" i="1"/>
  <c r="AA61" i="1"/>
  <c r="AA62" i="1"/>
  <c r="AA63" i="1"/>
  <c r="AA65" i="1"/>
  <c r="AA66" i="1"/>
  <c r="AA67" i="1"/>
  <c r="AA68" i="1"/>
  <c r="AA69" i="1"/>
  <c r="AA71" i="1"/>
  <c r="AA77" i="1"/>
  <c r="AA78" i="1"/>
  <c r="AA79" i="1"/>
  <c r="AA89" i="1"/>
  <c r="AA90" i="1"/>
  <c r="AA91" i="1"/>
  <c r="AA92" i="1"/>
  <c r="AA93" i="1"/>
  <c r="AA94" i="1"/>
  <c r="AA95" i="1"/>
  <c r="AA96" i="1"/>
  <c r="AA100" i="1"/>
  <c r="AA101" i="1"/>
  <c r="AA102" i="1"/>
  <c r="AA103" i="1"/>
  <c r="AA104" i="1"/>
  <c r="AA105" i="1"/>
  <c r="AA109" i="1"/>
  <c r="AA110" i="1"/>
  <c r="AA111" i="1"/>
  <c r="AA112" i="1"/>
  <c r="AA113" i="1"/>
  <c r="AA114" i="1"/>
  <c r="AA115" i="1"/>
  <c r="AA117" i="1"/>
  <c r="AA118" i="1"/>
  <c r="AA119" i="1"/>
  <c r="AA120" i="1"/>
  <c r="AA3" i="1" l="1"/>
  <c r="V125" i="1"/>
  <c r="V126" i="1" l="1"/>
  <c r="T125" i="1"/>
  <c r="T123" i="1"/>
  <c r="T124" i="1"/>
  <c r="T126" i="1"/>
  <c r="V123" i="1"/>
  <c r="V124" i="1"/>
  <c r="T127" i="1"/>
  <c r="Q57" i="1" l="1"/>
  <c r="R127" i="1" l="1"/>
  <c r="Q3" i="1" l="1"/>
  <c r="Q4" i="1"/>
  <c r="Q5" i="1"/>
  <c r="Q68" i="1"/>
  <c r="Q67" i="1"/>
  <c r="Q66" i="1"/>
  <c r="Q65" i="1"/>
  <c r="Q58" i="1"/>
  <c r="Q59" i="1"/>
  <c r="Q63" i="1"/>
  <c r="Q117" i="1"/>
  <c r="Q118" i="1"/>
  <c r="Q113" i="1"/>
  <c r="Q110" i="1"/>
  <c r="Q109" i="1"/>
  <c r="Q124" i="1" l="1"/>
  <c r="Q125" i="1"/>
  <c r="Q123" i="1"/>
  <c r="Q126" i="1"/>
  <c r="Q127" i="1"/>
  <c r="Z123" i="1" l="1"/>
  <c r="Z125" i="1"/>
  <c r="Z124" i="1"/>
  <c r="Z126" i="1"/>
  <c r="X123" i="1"/>
  <c r="X125" i="1"/>
  <c r="X124" i="1"/>
  <c r="X126" i="1"/>
  <c r="AA97" i="1"/>
  <c r="AA127" i="1" s="1"/>
  <c r="X127" i="1"/>
  <c r="Z127" i="1"/>
  <c r="AA125" i="1" l="1"/>
  <c r="AA123" i="1"/>
  <c r="AA126" i="1"/>
  <c r="AA124" i="1"/>
</calcChain>
</file>

<file path=xl/comments1.xml><?xml version="1.0" encoding="utf-8"?>
<comments xmlns="http://schemas.openxmlformats.org/spreadsheetml/2006/main">
  <authors>
    <author>Author</author>
  </authors>
  <commentList>
    <comment ref="Y1" authorId="0" shapeId="0">
      <text>
        <r>
          <rPr>
            <b/>
            <sz val="9"/>
            <color indexed="81"/>
            <rFont val="Tahoma"/>
            <family val="2"/>
          </rPr>
          <t>These columns are all computed trying to create an equal comparison by making the warranties all the same.  This is not perfect, but is a ball park approach.  The data cell "Incremental$Warr/Yr" is the percentage increase per year a drive will be increased to make all drives to have either an actual or computed warranty of the same length.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2" authorId="0" shapeId="0">
      <text>
        <r>
          <rPr>
            <sz val="9"/>
            <color indexed="81"/>
            <rFont val="Tahoma"/>
            <charset val="1"/>
          </rPr>
          <t xml:space="preserve">Seagate uses Annualized Failred Rate, rather than MTBF.  Drive is rated at &lt;1% in five years.
</t>
        </r>
      </text>
    </comment>
    <comment ref="O23" authorId="0" shapeId="0">
      <text>
        <r>
          <rPr>
            <sz val="9"/>
            <color indexed="81"/>
            <rFont val="Tahoma"/>
            <charset val="1"/>
          </rPr>
          <t xml:space="preserve">Seagate uses Annualized Failred Rate, rather than MTBF.  Drive is rated at &lt;1% in five years.
</t>
        </r>
      </text>
    </comment>
    <comment ref="O24" authorId="0" shapeId="0">
      <text>
        <r>
          <rPr>
            <sz val="9"/>
            <color indexed="81"/>
            <rFont val="Tahoma"/>
            <charset val="1"/>
          </rPr>
          <t xml:space="preserve">Seagate uses Annualized Failred Rate, rather than MTBF.  Drive is rated at &lt;1% in five years.
</t>
        </r>
      </text>
    </comment>
    <comment ref="O25" authorId="0" shapeId="0">
      <text>
        <r>
          <rPr>
            <sz val="9"/>
            <color indexed="81"/>
            <rFont val="Tahoma"/>
            <charset val="1"/>
          </rPr>
          <t xml:space="preserve">Seagate uses Annualized Failred Rate, rather than MTBF.  Drive is rated at &lt;1% in five years.
</t>
        </r>
      </text>
    </comment>
    <comment ref="D132" authorId="0" shapeId="0">
      <text>
        <r>
          <rPr>
            <b/>
            <sz val="9"/>
            <color indexed="81"/>
            <rFont val="Tahoma"/>
            <family val="2"/>
          </rPr>
          <t>Enter price per KW hour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3" authorId="0" shapeId="0">
      <text>
        <r>
          <rPr>
            <b/>
            <sz val="9"/>
            <color indexed="81"/>
            <rFont val="Tahoma"/>
            <family val="2"/>
          </rPr>
          <t>Enter Active Duty Cycle as a subset of 100%.  20% means the disk is active 20% and is using "Watts Active" power usage.  The "Watts Idle" usage is computed by taking 100%-"Active Duty Cycle" which would be 100%-20%=80%.</t>
        </r>
      </text>
    </comment>
    <comment ref="D134" authorId="0" shapeId="0">
      <text>
        <r>
          <rPr>
            <b/>
            <sz val="9"/>
            <color indexed="81"/>
            <rFont val="Tahoma"/>
            <family val="2"/>
          </rPr>
          <t>To normalize and make warranty comparisons reasonably possible, in the Warranty_Normalized_Computed columns, all warranties are computed against this many years.  Any warranties that are shorter will have costs increased by Incremental$Warr/Yr percentage per year.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5" authorId="0" shapeId="0">
      <text>
        <r>
          <rPr>
            <b/>
            <sz val="9"/>
            <color indexed="81"/>
            <rFont val="Tahoma"/>
            <family val="2"/>
          </rPr>
          <t>The percentage amount to increase the cost of drive per year.  The goal is to add a warranty amount for those drives which have less than CompareWarrYrs warranty.  This is far from perfect but provides a better comparison value across the listed disk drives.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<sst xmlns="http://schemas.openxmlformats.org/spreadsheetml/2006/main" count="488" uniqueCount="133">
  <si>
    <t>Date</t>
  </si>
  <si>
    <t>Manu</t>
  </si>
  <si>
    <t>Cost</t>
  </si>
  <si>
    <t>$ TB</t>
  </si>
  <si>
    <t>Model</t>
  </si>
  <si>
    <t>Black</t>
  </si>
  <si>
    <t>WD</t>
  </si>
  <si>
    <t>RPM</t>
  </si>
  <si>
    <t>Watts Active</t>
  </si>
  <si>
    <t>Watts Idle</t>
  </si>
  <si>
    <t>Seagate</t>
  </si>
  <si>
    <t>BarraCuda</t>
  </si>
  <si>
    <t>RED NAS Pro</t>
  </si>
  <si>
    <t>IronWolf</t>
  </si>
  <si>
    <t>Terascale</t>
  </si>
  <si>
    <t>HGST</t>
  </si>
  <si>
    <t>Deskstar NAS</t>
  </si>
  <si>
    <t>IronWolf Pro</t>
  </si>
  <si>
    <t>BarraCuda Pro</t>
  </si>
  <si>
    <t>$/KWH</t>
  </si>
  <si>
    <t>$ TB/year</t>
  </si>
  <si>
    <t>Energy$year</t>
  </si>
  <si>
    <t>MEDIAN</t>
  </si>
  <si>
    <t>MIN</t>
  </si>
  <si>
    <t>MAX</t>
  </si>
  <si>
    <t>Most Recent Update</t>
  </si>
  <si>
    <t>Warnty</t>
  </si>
  <si>
    <t>SizTB</t>
  </si>
  <si>
    <t>Blue</t>
  </si>
  <si>
    <t>Active Duty Cycle</t>
  </si>
  <si>
    <t>Power On Hours Year</t>
  </si>
  <si>
    <t>WattsStandby</t>
  </si>
  <si>
    <t>Comp $/Perf/Size</t>
  </si>
  <si>
    <t>$+Warr</t>
  </si>
  <si>
    <t>Actual</t>
  </si>
  <si>
    <t>CompareWarrYrs</t>
  </si>
  <si>
    <t>AVG</t>
  </si>
  <si>
    <t>MaxStartupWatts</t>
  </si>
  <si>
    <t>Warranty_Normalized_Computed</t>
  </si>
  <si>
    <t>Helium filled</t>
  </si>
  <si>
    <t>COUNT</t>
  </si>
  <si>
    <t>See http://hdd.userbenchmark.com for disk drive comparisons</t>
  </si>
  <si>
    <t>Notes</t>
  </si>
  <si>
    <t>Toshiba</t>
  </si>
  <si>
    <t>N300</t>
  </si>
  <si>
    <t>FireCuda SSHD</t>
  </si>
  <si>
    <t>8GiB NAND</t>
  </si>
  <si>
    <t>Incremental$Warr/Yr</t>
  </si>
  <si>
    <t>Energy$yearPerTB</t>
  </si>
  <si>
    <t>$PerTB</t>
  </si>
  <si>
    <t>Type</t>
  </si>
  <si>
    <t>NAS</t>
  </si>
  <si>
    <t>Days In Month</t>
  </si>
  <si>
    <t>Hours In Day</t>
  </si>
  <si>
    <t>Months In Year</t>
  </si>
  <si>
    <t>Hours In Month</t>
  </si>
  <si>
    <t>P300</t>
  </si>
  <si>
    <t>Red NAS</t>
  </si>
  <si>
    <t>Days in Year</t>
  </si>
  <si>
    <t>Gold Enterprise</t>
  </si>
  <si>
    <t>MTBF</t>
  </si>
  <si>
    <t>RErrRate</t>
  </si>
  <si>
    <t>WorkLoad</t>
  </si>
  <si>
    <t>CycleCnt</t>
  </si>
  <si>
    <t>XferRate</t>
  </si>
  <si>
    <t>PerfCmp</t>
  </si>
  <si>
    <t>AvgLatency</t>
  </si>
  <si>
    <t>X300</t>
  </si>
  <si>
    <t>SeekT</t>
  </si>
  <si>
    <t>PERFORMANCE</t>
  </si>
  <si>
    <t>Oldest Update</t>
  </si>
  <si>
    <t>POWER USAGE</t>
  </si>
  <si>
    <t>&gt;100</t>
  </si>
  <si>
    <t>Avg</t>
  </si>
  <si>
    <t>Min</t>
  </si>
  <si>
    <t>Max</t>
  </si>
  <si>
    <t>Qty</t>
  </si>
  <si>
    <t>Mean</t>
  </si>
  <si>
    <t xml:space="preserve"> </t>
  </si>
  <si>
    <t>Row Labels</t>
  </si>
  <si>
    <t>owned by WD</t>
  </si>
  <si>
    <r>
      <t>Ultrastar He</t>
    </r>
    <r>
      <rPr>
        <vertAlign val="superscript"/>
        <sz val="11"/>
        <color theme="1"/>
        <rFont val="Calibri"/>
        <family val="2"/>
        <scheme val="minor"/>
      </rPr>
      <t>8</t>
    </r>
  </si>
  <si>
    <t>HGST drives are now</t>
  </si>
  <si>
    <t>Ae</t>
  </si>
  <si>
    <t>Average of $ TB/year</t>
  </si>
  <si>
    <t>Avg By Size</t>
  </si>
  <si>
    <t>NAS Drives Avg Cost By Size Per Year</t>
  </si>
  <si>
    <t>Cost per TB per year</t>
  </si>
  <si>
    <t>Average</t>
  </si>
  <si>
    <t>FormFactor</t>
  </si>
  <si>
    <t>Ultrastar C10K1800</t>
  </si>
  <si>
    <t>Ultrastar C15K600</t>
  </si>
  <si>
    <t>Travelstar 7K100</t>
  </si>
  <si>
    <t>Travelstar 5K100</t>
  </si>
  <si>
    <t>SPECIFICATIONS</t>
  </si>
  <si>
    <t>Avg Energy Cost by Size per TB per Year</t>
  </si>
  <si>
    <t>Average of Energy$year</t>
  </si>
  <si>
    <t>Avg Energy Cost by Size per Year</t>
  </si>
  <si>
    <t>Grand Total</t>
  </si>
  <si>
    <t>Average of $PerTB</t>
  </si>
  <si>
    <t xml:space="preserve">3.5" NAS Drives Avg Cost by RPM by Manu
</t>
  </si>
  <si>
    <t>16GiB NAND</t>
  </si>
  <si>
    <t>Helium filled, Shingled (SMR)</t>
  </si>
  <si>
    <t>Shingled Magnetic Recording (SMR)</t>
  </si>
  <si>
    <t>Ultrastar C10K1200</t>
  </si>
  <si>
    <r>
      <t>Ultrastar Hs</t>
    </r>
    <r>
      <rPr>
        <u/>
        <vertAlign val="superscript"/>
        <sz val="11"/>
        <color theme="10"/>
        <rFont val="Calibri"/>
        <family val="2"/>
        <scheme val="minor"/>
      </rPr>
      <t>14</t>
    </r>
  </si>
  <si>
    <t>`</t>
  </si>
  <si>
    <t>Average of MaxStartupWatts</t>
  </si>
  <si>
    <t>(Multiple Items)</t>
  </si>
  <si>
    <t>Exos 7E8</t>
  </si>
  <si>
    <t>Exos 10E2400</t>
  </si>
  <si>
    <t>Exos 15E900</t>
  </si>
  <si>
    <t>Exos 7E2</t>
  </si>
  <si>
    <t>Exos 5E8</t>
  </si>
  <si>
    <t>Exos 7E2000</t>
  </si>
  <si>
    <t>Exos X12</t>
  </si>
  <si>
    <t>Exos X10</t>
  </si>
  <si>
    <t>SMR</t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</si>
  <si>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12</t>
    </r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</si>
  <si>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10</t>
    </r>
  </si>
  <si>
    <t>Enterprise Performance</t>
  </si>
  <si>
    <t>Enterprise Capacity</t>
  </si>
  <si>
    <t>Flash Memory Powerloss</t>
  </si>
  <si>
    <t>DURABILITY</t>
  </si>
  <si>
    <t>S</t>
  </si>
  <si>
    <t>32GB NAND, media caching</t>
  </si>
  <si>
    <t>Helium filled, media caching</t>
  </si>
  <si>
    <t>Media caching</t>
  </si>
  <si>
    <t>These are incomplete at this time…</t>
  </si>
  <si>
    <t>(All)</t>
  </si>
  <si>
    <t>Ultrastar Archive Ha10</t>
  </si>
  <si>
    <t>Ultrastar He6</t>
  </si>
  <si>
    <t>Ultrastar 7K600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</si>
</sst>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mm/dd/yy;@"/>
    <numFmt numFmtId="166" formatCode="&quot;$&quot;#,##0.000_);[Red]\(&quot;$&quot;#,##0.000\)"/>
    <numFmt numFmtId="167" formatCode="0.000E+00"/>
    <numFmt numFmtId="168" formatCode="0.000"/>
    <numFmt numFmtId="169" formatCode="&quot;$&quot;#,##0.000"/>
  </numFmts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b/>
      <sz val="10.5"/>
      <color theme="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vertAlign val="superscript"/>
      <sz val="11"/>
      <color theme="10"/>
      <name val="Calibri"/>
      <family val="2"/>
      <scheme val="minor"/>
    </font>
    <font>
      <sz val="11"/>
      <name val="Calibri"/>
      <scheme val="minor"/>
    </font>
    <font>
      <sz val="9"/>
      <color indexed="81"/>
      <name val="Tahoma"/>
      <charset val="1"/>
    </font>
  </fonts>
  <fills count="1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0209F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rgb="FFFFFF66"/>
        <bgColor indexed="64"/>
      </patternFill>
    </fill>
    <fill>
      <patternFill patternType="solid">
        <fgColor rgb="FF00B050"/>
        <bgColor indexed="64"/>
      </patternFill>
    </fill>
  </fills>
  <borders count="6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medium">
        <color theme="4" tint="0.79998168889431442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medium">
        <color theme="4" tint="0.7999816888943144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theme="4" tint="0.39994506668294322"/>
      </left>
      <right/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auto="1"/>
      </bottom>
      <diagonal/>
    </border>
    <border>
      <left/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theme="9" tint="-0.499984740745262"/>
      </bottom>
      <diagonal/>
    </border>
    <border>
      <left/>
      <right/>
      <top/>
      <bottom style="thick">
        <color theme="9" tint="-0.499984740745262"/>
      </bottom>
      <diagonal/>
    </border>
    <border>
      <left style="thick">
        <color auto="1"/>
      </left>
      <right/>
      <top/>
      <bottom style="thick">
        <color theme="9" tint="-0.499984740745262"/>
      </bottom>
      <diagonal/>
    </border>
    <border>
      <left/>
      <right style="medium">
        <color auto="1"/>
      </right>
      <top/>
      <bottom style="thick">
        <color theme="9" tint="-0.499984740745262"/>
      </bottom>
      <diagonal/>
    </border>
    <border>
      <left style="medium">
        <color auto="1"/>
      </left>
      <right/>
      <top/>
      <bottom style="thick">
        <color theme="9" tint="-0.499984740745262"/>
      </bottom>
      <diagonal/>
    </border>
    <border>
      <left style="medium">
        <color auto="1"/>
      </left>
      <right style="thick">
        <color auto="1"/>
      </right>
      <top/>
      <bottom style="thick">
        <color theme="9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theme="4" tint="0.79998168889431442"/>
      </top>
      <bottom style="medium">
        <color theme="4" tint="0.39994506668294322"/>
      </bottom>
      <diagonal/>
    </border>
    <border>
      <left/>
      <right/>
      <top style="medium">
        <color theme="4" tint="0.39994506668294322"/>
      </top>
      <bottom style="medium">
        <color theme="4" tint="0.39994506668294322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79998168889431442"/>
      </bottom>
      <diagonal/>
    </border>
    <border>
      <left/>
      <right style="thick">
        <color auto="1"/>
      </right>
      <top style="medium">
        <color theme="4" tint="0.39994506668294322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95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Border="1"/>
    <xf numFmtId="2" fontId="0" fillId="0" borderId="0" xfId="0" applyNumberFormat="1" applyBorder="1"/>
    <xf numFmtId="164" fontId="0" fillId="0" borderId="0" xfId="0" applyNumberFormat="1" applyFill="1" applyBorder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64" fontId="0" fillId="0" borderId="3" xfId="0" applyNumberFormat="1" applyFill="1" applyBorder="1"/>
    <xf numFmtId="164" fontId="0" fillId="0" borderId="4" xfId="0" applyNumberFormat="1" applyFill="1" applyBorder="1"/>
    <xf numFmtId="2" fontId="0" fillId="0" borderId="0" xfId="0" applyNumberFormat="1" applyBorder="1" applyAlignment="1"/>
    <xf numFmtId="0" fontId="3" fillId="2" borderId="2" xfId="0" applyFont="1" applyFill="1" applyBorder="1" applyAlignment="1">
      <alignment horizontal="center"/>
    </xf>
    <xf numFmtId="0" fontId="1" fillId="4" borderId="5" xfId="0" applyFont="1" applyFill="1" applyBorder="1"/>
    <xf numFmtId="2" fontId="1" fillId="4" borderId="6" xfId="0" applyNumberFormat="1" applyFont="1" applyFill="1" applyBorder="1"/>
    <xf numFmtId="44" fontId="1" fillId="4" borderId="6" xfId="0" applyNumberFormat="1" applyFont="1" applyFill="1" applyBorder="1"/>
    <xf numFmtId="0" fontId="1" fillId="4" borderId="6" xfId="0" applyFont="1" applyFill="1" applyBorder="1"/>
    <xf numFmtId="0" fontId="1" fillId="4" borderId="7" xfId="0" applyFont="1" applyFill="1" applyBorder="1"/>
    <xf numFmtId="2" fontId="1" fillId="4" borderId="8" xfId="0" applyNumberFormat="1" applyFont="1" applyFill="1" applyBorder="1"/>
    <xf numFmtId="0" fontId="1" fillId="4" borderId="8" xfId="0" applyFont="1" applyFill="1" applyBorder="1"/>
    <xf numFmtId="44" fontId="1" fillId="4" borderId="8" xfId="0" applyNumberFormat="1" applyFont="1" applyFill="1" applyBorder="1"/>
    <xf numFmtId="0" fontId="0" fillId="4" borderId="8" xfId="0" applyFill="1" applyBorder="1"/>
    <xf numFmtId="0" fontId="1" fillId="4" borderId="9" xfId="0" applyFont="1" applyFill="1" applyBorder="1"/>
    <xf numFmtId="0" fontId="1" fillId="4" borderId="10" xfId="0" applyFont="1" applyFill="1" applyBorder="1"/>
    <xf numFmtId="0" fontId="0" fillId="4" borderId="10" xfId="0" applyFill="1" applyBorder="1"/>
    <xf numFmtId="0" fontId="1" fillId="2" borderId="11" xfId="0" applyFont="1" applyFill="1" applyBorder="1" applyAlignment="1">
      <alignment horizontal="center"/>
    </xf>
    <xf numFmtId="0" fontId="0" fillId="5" borderId="12" xfId="0" applyFill="1" applyBorder="1"/>
    <xf numFmtId="9" fontId="0" fillId="6" borderId="12" xfId="0" applyNumberFormat="1" applyFill="1" applyBorder="1"/>
    <xf numFmtId="0" fontId="0" fillId="6" borderId="12" xfId="0" applyFill="1" applyBorder="1"/>
    <xf numFmtId="166" fontId="4" fillId="0" borderId="0" xfId="0" applyNumberFormat="1" applyFont="1" applyFill="1" applyBorder="1"/>
    <xf numFmtId="9" fontId="4" fillId="0" borderId="0" xfId="0" applyNumberFormat="1" applyFont="1" applyFill="1" applyBorder="1"/>
    <xf numFmtId="0" fontId="4" fillId="0" borderId="0" xfId="0" applyFont="1" applyFill="1" applyBorder="1"/>
    <xf numFmtId="0" fontId="0" fillId="0" borderId="0" xfId="0" applyAlignment="1">
      <alignment horizontal="center"/>
    </xf>
    <xf numFmtId="0" fontId="4" fillId="6" borderId="12" xfId="0" applyFont="1" applyFill="1" applyBorder="1"/>
    <xf numFmtId="166" fontId="0" fillId="6" borderId="12" xfId="0" applyNumberFormat="1" applyFill="1" applyBorder="1" applyAlignment="1"/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0" fillId="2" borderId="12" xfId="0" applyFill="1" applyBorder="1"/>
    <xf numFmtId="167" fontId="0" fillId="0" borderId="0" xfId="0" applyNumberFormat="1"/>
    <xf numFmtId="3" fontId="0" fillId="0" borderId="0" xfId="0" applyNumberFormat="1"/>
    <xf numFmtId="3" fontId="1" fillId="4" borderId="6" xfId="0" applyNumberFormat="1" applyFont="1" applyFill="1" applyBorder="1"/>
    <xf numFmtId="3" fontId="1" fillId="4" borderId="8" xfId="0" applyNumberFormat="1" applyFont="1" applyFill="1" applyBorder="1"/>
    <xf numFmtId="2" fontId="0" fillId="0" borderId="0" xfId="0" applyNumberFormat="1" applyBorder="1" applyAlignment="1">
      <alignment horizontal="right"/>
    </xf>
    <xf numFmtId="0" fontId="0" fillId="0" borderId="21" xfId="0" applyBorder="1"/>
    <xf numFmtId="3" fontId="0" fillId="0" borderId="22" xfId="0" applyNumberFormat="1" applyBorder="1"/>
    <xf numFmtId="3" fontId="0" fillId="0" borderId="4" xfId="0" applyNumberFormat="1" applyBorder="1"/>
    <xf numFmtId="3" fontId="0" fillId="0" borderId="23" xfId="0" applyNumberFormat="1" applyBorder="1"/>
    <xf numFmtId="1" fontId="0" fillId="0" borderId="24" xfId="0" applyNumberFormat="1" applyBorder="1"/>
    <xf numFmtId="1" fontId="0" fillId="0" borderId="25" xfId="0" applyNumberFormat="1" applyBorder="1"/>
    <xf numFmtId="1" fontId="0" fillId="0" borderId="26" xfId="0" applyNumberFormat="1" applyBorder="1"/>
    <xf numFmtId="167" fontId="1" fillId="4" borderId="28" xfId="0" applyNumberFormat="1" applyFont="1" applyFill="1" applyBorder="1"/>
    <xf numFmtId="167" fontId="1" fillId="4" borderId="29" xfId="0" applyNumberFormat="1" applyFont="1" applyFill="1" applyBorder="1"/>
    <xf numFmtId="0" fontId="1" fillId="4" borderId="30" xfId="0" applyFont="1" applyFill="1" applyBorder="1"/>
    <xf numFmtId="2" fontId="1" fillId="4" borderId="31" xfId="0" applyNumberFormat="1" applyFont="1" applyFill="1" applyBorder="1"/>
    <xf numFmtId="2" fontId="1" fillId="4" borderId="32" xfId="0" applyNumberFormat="1" applyFont="1" applyFill="1" applyBorder="1"/>
    <xf numFmtId="0" fontId="1" fillId="4" borderId="33" xfId="0" applyFont="1" applyFill="1" applyBorder="1"/>
    <xf numFmtId="2" fontId="0" fillId="0" borderId="4" xfId="0" applyNumberFormat="1" applyBorder="1"/>
    <xf numFmtId="2" fontId="1" fillId="4" borderId="36" xfId="0" applyNumberFormat="1" applyFont="1" applyFill="1" applyBorder="1"/>
    <xf numFmtId="2" fontId="1" fillId="4" borderId="38" xfId="0" applyNumberFormat="1" applyFont="1" applyFill="1" applyBorder="1"/>
    <xf numFmtId="0" fontId="1" fillId="4" borderId="40" xfId="0" applyFont="1" applyFill="1" applyBorder="1"/>
    <xf numFmtId="0" fontId="1" fillId="4" borderId="41" xfId="0" applyFont="1" applyFill="1" applyBorder="1"/>
    <xf numFmtId="2" fontId="1" fillId="4" borderId="28" xfId="0" applyNumberFormat="1" applyFont="1" applyFill="1" applyBorder="1"/>
    <xf numFmtId="2" fontId="1" fillId="4" borderId="29" xfId="0" applyNumberFormat="1" applyFont="1" applyFill="1" applyBorder="1"/>
    <xf numFmtId="0" fontId="1" fillId="2" borderId="44" xfId="0" applyFont="1" applyFill="1" applyBorder="1" applyAlignment="1">
      <alignment horizontal="center"/>
    </xf>
    <xf numFmtId="0" fontId="1" fillId="2" borderId="45" xfId="0" applyFont="1" applyFill="1" applyBorder="1" applyAlignment="1">
      <alignment horizontal="center"/>
    </xf>
    <xf numFmtId="9" fontId="0" fillId="0" borderId="0" xfId="0" applyNumberFormat="1" applyBorder="1"/>
    <xf numFmtId="0" fontId="1" fillId="4" borderId="36" xfId="0" applyFont="1" applyFill="1" applyBorder="1"/>
    <xf numFmtId="2" fontId="1" fillId="4" borderId="37" xfId="0" applyNumberFormat="1" applyFont="1" applyFill="1" applyBorder="1"/>
    <xf numFmtId="0" fontId="1" fillId="4" borderId="38" xfId="0" applyFont="1" applyFill="1" applyBorder="1"/>
    <xf numFmtId="2" fontId="1" fillId="4" borderId="39" xfId="0" applyNumberFormat="1" applyFont="1" applyFill="1" applyBorder="1"/>
    <xf numFmtId="0" fontId="0" fillId="4" borderId="38" xfId="0" applyFill="1" applyBorder="1"/>
    <xf numFmtId="0" fontId="0" fillId="4" borderId="40" xfId="0" applyFill="1" applyBorder="1"/>
    <xf numFmtId="0" fontId="1" fillId="4" borderId="7" xfId="0" applyFont="1" applyFill="1" applyBorder="1" applyAlignment="1">
      <alignment shrinkToFit="1"/>
    </xf>
    <xf numFmtId="14" fontId="0" fillId="0" borderId="47" xfId="0" applyNumberFormat="1" applyBorder="1"/>
    <xf numFmtId="0" fontId="0" fillId="0" borderId="47" xfId="0" applyBorder="1"/>
    <xf numFmtId="0" fontId="0" fillId="0" borderId="47" xfId="0" applyBorder="1" applyAlignment="1">
      <alignment horizontal="center"/>
    </xf>
    <xf numFmtId="3" fontId="0" fillId="0" borderId="48" xfId="0" applyNumberFormat="1" applyBorder="1"/>
    <xf numFmtId="2" fontId="0" fillId="0" borderId="47" xfId="0" applyNumberFormat="1" applyBorder="1"/>
    <xf numFmtId="9" fontId="0" fillId="0" borderId="47" xfId="0" applyNumberFormat="1" applyBorder="1"/>
    <xf numFmtId="1" fontId="0" fillId="0" borderId="46" xfId="0" applyNumberFormat="1" applyBorder="1"/>
    <xf numFmtId="3" fontId="0" fillId="0" borderId="47" xfId="0" applyNumberFormat="1" applyBorder="1"/>
    <xf numFmtId="167" fontId="0" fillId="0" borderId="47" xfId="0" applyNumberFormat="1" applyBorder="1"/>
    <xf numFmtId="2" fontId="0" fillId="0" borderId="48" xfId="0" applyNumberFormat="1" applyBorder="1"/>
    <xf numFmtId="164" fontId="0" fillId="0" borderId="49" xfId="0" applyNumberFormat="1" applyFill="1" applyBorder="1"/>
    <xf numFmtId="164" fontId="0" fillId="0" borderId="48" xfId="0" applyNumberFormat="1" applyFill="1" applyBorder="1"/>
    <xf numFmtId="164" fontId="0" fillId="0" borderId="47" xfId="0" applyNumberFormat="1" applyFill="1" applyBorder="1"/>
    <xf numFmtId="0" fontId="0" fillId="0" borderId="51" xfId="0" applyBorder="1"/>
    <xf numFmtId="49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2" fontId="0" fillId="0" borderId="0" xfId="0" applyNumberFormat="1" applyFill="1" applyBorder="1"/>
    <xf numFmtId="2" fontId="0" fillId="0" borderId="47" xfId="0" applyNumberFormat="1" applyFill="1" applyBorder="1"/>
    <xf numFmtId="0" fontId="0" fillId="0" borderId="0" xfId="0" applyAlignment="1">
      <alignment textRotation="135"/>
    </xf>
    <xf numFmtId="0" fontId="0" fillId="0" borderId="0" xfId="0" applyAlignment="1">
      <alignment shrinkToFit="1"/>
    </xf>
    <xf numFmtId="0" fontId="0" fillId="0" borderId="52" xfId="0" pivotButton="1" applyBorder="1"/>
    <xf numFmtId="0" fontId="0" fillId="0" borderId="52" xfId="0" applyBorder="1"/>
    <xf numFmtId="164" fontId="0" fillId="0" borderId="52" xfId="0" applyNumberFormat="1" applyBorder="1"/>
    <xf numFmtId="2" fontId="0" fillId="0" borderId="52" xfId="0" applyNumberFormat="1" applyBorder="1" applyAlignment="1">
      <alignment horizontal="right"/>
    </xf>
    <xf numFmtId="0" fontId="0" fillId="0" borderId="52" xfId="0" pivotButton="1" applyBorder="1" applyAlignment="1">
      <alignment horizontal="center"/>
    </xf>
    <xf numFmtId="0" fontId="0" fillId="0" borderId="52" xfId="0" applyBorder="1" applyAlignment="1">
      <alignment horizontal="center"/>
    </xf>
    <xf numFmtId="2" fontId="0" fillId="0" borderId="52" xfId="0" applyNumberFormat="1" applyBorder="1" applyAlignment="1">
      <alignment horizontal="center"/>
    </xf>
    <xf numFmtId="0" fontId="0" fillId="0" borderId="0" xfId="0" pivotButton="1"/>
    <xf numFmtId="2" fontId="0" fillId="0" borderId="0" xfId="0" applyNumberFormat="1" applyAlignment="1">
      <alignment horizontal="left"/>
    </xf>
    <xf numFmtId="169" fontId="0" fillId="0" borderId="52" xfId="0" applyNumberFormat="1" applyBorder="1"/>
    <xf numFmtId="2" fontId="0" fillId="0" borderId="0" xfId="0" applyNumberFormat="1" applyAlignment="1">
      <alignment horizontal="right"/>
    </xf>
    <xf numFmtId="0" fontId="0" fillId="0" borderId="0" xfId="0" applyBorder="1" applyAlignment="1">
      <alignment horizontal="center"/>
    </xf>
    <xf numFmtId="2" fontId="0" fillId="0" borderId="47" xfId="0" applyNumberFormat="1" applyFill="1" applyBorder="1" applyAlignment="1">
      <alignment horizontal="right"/>
    </xf>
    <xf numFmtId="2" fontId="1" fillId="4" borderId="53" xfId="0" applyNumberFormat="1" applyFont="1" applyFill="1" applyBorder="1" applyAlignment="1">
      <alignment horizontal="right"/>
    </xf>
    <xf numFmtId="2" fontId="1" fillId="4" borderId="54" xfId="0" applyNumberFormat="1" applyFont="1" applyFill="1" applyBorder="1" applyAlignment="1">
      <alignment horizontal="right"/>
    </xf>
    <xf numFmtId="2" fontId="1" fillId="4" borderId="54" xfId="0" applyNumberFormat="1" applyFont="1" applyFill="1" applyBorder="1" applyAlignment="1">
      <alignment horizontal="right" shrinkToFit="1"/>
    </xf>
    <xf numFmtId="166" fontId="0" fillId="0" borderId="0" xfId="0" applyNumberFormat="1" applyFill="1" applyBorder="1" applyAlignment="1"/>
    <xf numFmtId="9" fontId="0" fillId="0" borderId="0" xfId="0" applyNumberFormat="1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9" fontId="0" fillId="0" borderId="0" xfId="0" applyNumberFormat="1"/>
    <xf numFmtId="2" fontId="0" fillId="0" borderId="52" xfId="0" applyNumberFormat="1" applyBorder="1" applyAlignment="1">
      <alignment horizontal="left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0" fillId="0" borderId="21" xfId="0" applyBorder="1" applyAlignment="1">
      <alignment shrinkToFit="1"/>
    </xf>
    <xf numFmtId="0" fontId="0" fillId="0" borderId="0" xfId="0" applyAlignment="1">
      <alignment horizontal="center"/>
    </xf>
    <xf numFmtId="0" fontId="10" fillId="0" borderId="47" xfId="1" applyBorder="1" applyAlignment="1">
      <alignment shrinkToFit="1"/>
    </xf>
    <xf numFmtId="0" fontId="10" fillId="0" borderId="0" xfId="1" applyAlignment="1">
      <alignment shrinkToFit="1"/>
    </xf>
    <xf numFmtId="2" fontId="0" fillId="0" borderId="0" xfId="0" applyNumberFormat="1"/>
    <xf numFmtId="3" fontId="0" fillId="0" borderId="0" xfId="0" applyNumberFormat="1" applyAlignment="1">
      <alignment horizontal="left" indent="1"/>
    </xf>
    <xf numFmtId="0" fontId="0" fillId="0" borderId="0" xfId="0" applyAlignment="1">
      <alignment horizontal="center"/>
    </xf>
    <xf numFmtId="2" fontId="0" fillId="0" borderId="0" xfId="0" applyNumberFormat="1" applyFill="1" applyBorder="1" applyAlignment="1">
      <alignment horizontal="right"/>
    </xf>
    <xf numFmtId="0" fontId="10" fillId="0" borderId="0" xfId="1"/>
    <xf numFmtId="0" fontId="0" fillId="0" borderId="0" xfId="0" applyAlignment="1">
      <alignment horizontal="center"/>
    </xf>
    <xf numFmtId="0" fontId="10" fillId="0" borderId="21" xfId="1" applyBorder="1"/>
    <xf numFmtId="0" fontId="10" fillId="0" borderId="51" xfId="1" applyBorder="1"/>
    <xf numFmtId="14" fontId="0" fillId="0" borderId="0" xfId="0" applyNumberFormat="1" applyBorder="1"/>
    <xf numFmtId="0" fontId="10" fillId="0" borderId="0" xfId="1" applyBorder="1" applyAlignment="1">
      <alignment shrinkToFit="1"/>
    </xf>
    <xf numFmtId="3" fontId="0" fillId="0" borderId="0" xfId="0" applyNumberFormat="1" applyBorder="1"/>
    <xf numFmtId="0" fontId="0" fillId="0" borderId="0" xfId="0" applyAlignment="1">
      <alignment horizontal="center"/>
    </xf>
    <xf numFmtId="168" fontId="0" fillId="0" borderId="0" xfId="0" applyNumberFormat="1" applyBorder="1"/>
    <xf numFmtId="168" fontId="0" fillId="0" borderId="47" xfId="0" applyNumberFormat="1" applyBorder="1"/>
    <xf numFmtId="168" fontId="1" fillId="4" borderId="28" xfId="0" applyNumberFormat="1" applyFont="1" applyFill="1" applyBorder="1"/>
    <xf numFmtId="168" fontId="1" fillId="4" borderId="29" xfId="0" applyNumberFormat="1" applyFont="1" applyFill="1" applyBorder="1"/>
    <xf numFmtId="8" fontId="4" fillId="0" borderId="0" xfId="0" applyNumberFormat="1" applyFont="1" applyBorder="1"/>
    <xf numFmtId="0" fontId="4" fillId="0" borderId="0" xfId="0" applyFont="1" applyBorder="1"/>
    <xf numFmtId="8" fontId="4" fillId="0" borderId="47" xfId="0" applyNumberFormat="1" applyFont="1" applyBorder="1"/>
    <xf numFmtId="8" fontId="12" fillId="0" borderId="0" xfId="0" applyNumberFormat="1" applyFont="1" applyBorder="1"/>
    <xf numFmtId="8" fontId="4" fillId="0" borderId="58" xfId="0" applyNumberFormat="1" applyFont="1" applyBorder="1"/>
    <xf numFmtId="44" fontId="1" fillId="4" borderId="31" xfId="0" applyNumberFormat="1" applyFont="1" applyFill="1" applyBorder="1"/>
    <xf numFmtId="44" fontId="1" fillId="4" borderId="32" xfId="0" applyNumberFormat="1" applyFont="1" applyFill="1" applyBorder="1"/>
    <xf numFmtId="0" fontId="1" fillId="4" borderId="59" xfId="0" applyFont="1" applyFill="1" applyBorder="1"/>
    <xf numFmtId="8" fontId="4" fillId="0" borderId="0" xfId="0" applyNumberFormat="1" applyFont="1" applyFill="1" applyBorder="1"/>
    <xf numFmtId="8" fontId="4" fillId="0" borderId="47" xfId="0" applyNumberFormat="1" applyFont="1" applyFill="1" applyBorder="1"/>
    <xf numFmtId="44" fontId="1" fillId="4" borderId="28" xfId="0" applyNumberFormat="1" applyFont="1" applyFill="1" applyBorder="1"/>
    <xf numFmtId="44" fontId="1" fillId="4" borderId="29" xfId="0" applyNumberFormat="1" applyFont="1" applyFill="1" applyBorder="1"/>
    <xf numFmtId="0" fontId="1" fillId="2" borderId="60" xfId="0" applyFont="1" applyFill="1" applyBorder="1" applyAlignment="1">
      <alignment horizontal="center"/>
    </xf>
    <xf numFmtId="164" fontId="0" fillId="0" borderId="15" xfId="0" applyNumberFormat="1" applyBorder="1"/>
    <xf numFmtId="164" fontId="10" fillId="0" borderId="15" xfId="1" applyNumberFormat="1" applyBorder="1"/>
    <xf numFmtId="164" fontId="0" fillId="0" borderId="50" xfId="0" applyNumberFormat="1" applyBorder="1"/>
    <xf numFmtId="2" fontId="1" fillId="4" borderId="5" xfId="0" applyNumberFormat="1" applyFont="1" applyFill="1" applyBorder="1"/>
    <xf numFmtId="0" fontId="0" fillId="4" borderId="7" xfId="0" applyFill="1" applyBorder="1"/>
    <xf numFmtId="2" fontId="1" fillId="4" borderId="7" xfId="0" applyNumberFormat="1" applyFont="1" applyFill="1" applyBorder="1"/>
    <xf numFmtId="0" fontId="0" fillId="4" borderId="9" xfId="0" applyFill="1" applyBorder="1"/>
    <xf numFmtId="14" fontId="1" fillId="6" borderId="13" xfId="0" applyNumberFormat="1" applyFont="1" applyFill="1" applyBorder="1" applyAlignment="1">
      <alignment horizontal="center"/>
    </xf>
    <xf numFmtId="0" fontId="1" fillId="6" borderId="14" xfId="0" applyFont="1" applyFill="1" applyBorder="1" applyAlignment="1">
      <alignment horizontal="center"/>
    </xf>
    <xf numFmtId="0" fontId="8" fillId="3" borderId="13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center"/>
    </xf>
    <xf numFmtId="165" fontId="1" fillId="6" borderId="13" xfId="0" applyNumberFormat="1" applyFont="1" applyFill="1" applyBorder="1" applyAlignment="1">
      <alignment horizontal="center"/>
    </xf>
    <xf numFmtId="165" fontId="1" fillId="6" borderId="14" xfId="0" applyNumberFormat="1" applyFont="1" applyFill="1" applyBorder="1" applyAlignment="1">
      <alignment horizontal="center"/>
    </xf>
    <xf numFmtId="0" fontId="1" fillId="13" borderId="12" xfId="0" applyFont="1" applyFill="1" applyBorder="1" applyAlignment="1">
      <alignment horizontal="center" shrinkToFit="1"/>
    </xf>
    <xf numFmtId="0" fontId="0" fillId="13" borderId="12" xfId="0" applyFill="1" applyBorder="1" applyAlignment="1">
      <alignment horizontal="center" shrinkToFit="1"/>
    </xf>
    <xf numFmtId="0" fontId="1" fillId="13" borderId="12" xfId="0" applyFont="1" applyFill="1" applyBorder="1" applyAlignment="1">
      <alignment horizontal="center"/>
    </xf>
    <xf numFmtId="0" fontId="0" fillId="13" borderId="12" xfId="0" applyFill="1" applyBorder="1" applyAlignment="1">
      <alignment horizontal="center"/>
    </xf>
    <xf numFmtId="0" fontId="1" fillId="10" borderId="34" xfId="0" applyFont="1" applyFill="1" applyBorder="1" applyAlignment="1">
      <alignment horizontal="center"/>
    </xf>
    <xf numFmtId="0" fontId="0" fillId="10" borderId="27" xfId="0" applyFill="1" applyBorder="1" applyAlignment="1">
      <alignment horizontal="center"/>
    </xf>
    <xf numFmtId="0" fontId="0" fillId="10" borderId="35" xfId="0" applyFill="1" applyBorder="1" applyAlignment="1">
      <alignment horizontal="center"/>
    </xf>
    <xf numFmtId="0" fontId="1" fillId="7" borderId="34" xfId="0" applyFont="1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" fillId="3" borderId="13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49" fontId="1" fillId="9" borderId="42" xfId="0" applyNumberFormat="1" applyFont="1" applyFill="1" applyBorder="1" applyAlignment="1">
      <alignment horizontal="center" vertical="center"/>
    </xf>
    <xf numFmtId="49" fontId="0" fillId="9" borderId="12" xfId="0" applyNumberFormat="1" applyFill="1" applyBorder="1" applyAlignment="1">
      <alignment horizontal="center" vertical="center"/>
    </xf>
    <xf numFmtId="49" fontId="0" fillId="9" borderId="43" xfId="0" applyNumberFormat="1" applyFill="1" applyBorder="1" applyAlignment="1">
      <alignment horizontal="center" vertical="center"/>
    </xf>
    <xf numFmtId="0" fontId="1" fillId="12" borderId="55" xfId="0" applyFont="1" applyFill="1" applyBorder="1" applyAlignment="1">
      <alignment horizontal="center"/>
    </xf>
    <xf numFmtId="0" fontId="0" fillId="12" borderId="0" xfId="0" applyFill="1" applyAlignment="1">
      <alignment horizontal="center"/>
    </xf>
    <xf numFmtId="0" fontId="0" fillId="12" borderId="25" xfId="0" applyFill="1" applyBorder="1" applyAlignment="1">
      <alignment horizontal="center"/>
    </xf>
    <xf numFmtId="0" fontId="7" fillId="8" borderId="56" xfId="0" applyFont="1" applyFill="1" applyBorder="1" applyAlignment="1">
      <alignment horizontal="center" vertical="center" shrinkToFit="1"/>
    </xf>
    <xf numFmtId="0" fontId="0" fillId="0" borderId="57" xfId="0" applyBorder="1" applyAlignment="1">
      <alignment horizontal="center" vertical="center" shrinkToFit="1"/>
    </xf>
    <xf numFmtId="0" fontId="0" fillId="0" borderId="0" xfId="0" applyAlignment="1">
      <alignment horizontal="center" shrinkToFit="1"/>
    </xf>
    <xf numFmtId="2" fontId="0" fillId="11" borderId="52" xfId="0" applyNumberFormat="1" applyFont="1" applyFill="1" applyBorder="1" applyAlignment="1">
      <alignment horizontal="center" shrinkToFit="1"/>
    </xf>
    <xf numFmtId="0" fontId="0" fillId="0" borderId="52" xfId="0" applyBorder="1" applyAlignment="1">
      <alignment horizontal="center" shrinkToFit="1"/>
    </xf>
    <xf numFmtId="2" fontId="0" fillId="11" borderId="56" xfId="0" applyNumberFormat="1" applyFont="1" applyFill="1" applyBorder="1" applyAlignment="1">
      <alignment horizontal="center" shrinkToFit="1"/>
    </xf>
    <xf numFmtId="0" fontId="0" fillId="0" borderId="57" xfId="0" applyBorder="1" applyAlignment="1">
      <alignment horizontal="center" shrinkToFit="1"/>
    </xf>
  </cellXfs>
  <cellStyles count="2">
    <cellStyle name="Hyperlink" xfId="1" builtinId="8"/>
    <cellStyle name="Normal" xfId="0" builtinId="0"/>
  </cellStyles>
  <dxfs count="85"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164" formatCode="&quot;$&quot;#,##0.00"/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right" readingOrder="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70" formatCode="0.0000"/>
    </dxf>
    <dxf>
      <numFmt numFmtId="2" formatCode="0.00"/>
    </dxf>
    <dxf>
      <numFmt numFmtId="2" formatCode="0.0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&quot;$&quot;#,##0.00"/>
    </dxf>
    <dxf>
      <numFmt numFmtId="164" formatCode="&quot;$&quot;#,##0.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numFmt numFmtId="2" formatCode="0.00"/>
    </dxf>
    <dxf>
      <numFmt numFmtId="2" formatCode="0.00"/>
    </dxf>
    <dxf>
      <numFmt numFmtId="170" formatCode="0.000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numFmt numFmtId="164" formatCode="&quot;$&quot;#,##0.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alignment horizontal="right" readingOrder="0"/>
    </dxf>
    <dxf>
      <border diagonalUp="0" diagonalDown="0">
        <left style="medium">
          <color auto="1"/>
        </left>
        <right style="thick">
          <color auto="1"/>
        </right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 style="thick">
          <color auto="1"/>
        </left>
        <right/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border diagonalUp="0" diagonalDown="0">
        <left style="medium">
          <color auto="1"/>
        </left>
        <right/>
        <top/>
        <bottom/>
        <vertical/>
        <horizontal/>
      </border>
    </dxf>
    <dxf>
      <font>
        <color auto="1"/>
      </font>
      <numFmt numFmtId="12" formatCode="&quot;$&quot;#,##0.00_);[Red]\(&quot;$&quot;#,##0.00\)"/>
      <border diagonalUp="0" diagonalDown="0">
        <left/>
        <right style="medium">
          <color auto="1"/>
        </right>
        <top/>
        <bottom/>
        <vertical/>
        <horizontal/>
      </border>
    </dxf>
    <dxf>
      <font>
        <color auto="1"/>
      </font>
      <numFmt numFmtId="12" formatCode="&quot;$&quot;#,##0.00_);[Red]\(&quot;$&quot;#,##0.00\)"/>
    </dxf>
    <dxf>
      <numFmt numFmtId="168" formatCode="0.000"/>
    </dxf>
    <dxf>
      <numFmt numFmtId="2" formatCode="0.00"/>
    </dxf>
    <dxf>
      <numFmt numFmtId="2" formatCode="0.00"/>
    </dxf>
    <dxf>
      <numFmt numFmtId="2" formatCode="0.00"/>
      <border diagonalUp="0" diagonalDown="0">
        <left style="thick">
          <color auto="1"/>
        </left>
      </border>
    </dxf>
    <dxf>
      <numFmt numFmtId="167" formatCode="0.000E+00"/>
    </dxf>
    <dxf>
      <numFmt numFmtId="3" formatCode="#,##0"/>
    </dxf>
    <dxf>
      <numFmt numFmtId="3" formatCode="#,##0"/>
    </dxf>
    <dxf>
      <numFmt numFmtId="1" formatCode="0"/>
      <border diagonalUp="0" diagonalDown="0">
        <left/>
        <right style="thick">
          <color auto="1"/>
        </right>
        <top/>
        <bottom/>
      </border>
    </dxf>
    <dxf>
      <numFmt numFmtId="13" formatCode="0%"/>
    </dxf>
    <dxf>
      <numFmt numFmtId="2" formatCode="0.00"/>
    </dxf>
    <dxf>
      <numFmt numFmtId="2" formatCode="0.00"/>
    </dxf>
    <dxf>
      <numFmt numFmtId="3" formatCode="#,##0"/>
      <border diagonalUp="0" diagonalDown="0">
        <left style="thick">
          <color auto="1"/>
        </left>
        <right/>
        <top/>
        <bottom/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1" readingOrder="0"/>
    </dxf>
    <dxf>
      <numFmt numFmtId="19" formatCode="m/d/yyyy"/>
    </dxf>
    <dxf>
      <border outline="0">
        <top style="thick">
          <color auto="1"/>
        </top>
        <bottom style="thick">
          <color auto="1"/>
        </bottom>
      </border>
    </dxf>
    <dxf>
      <border outline="0"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FF66"/>
      <color rgb="FFB0209F"/>
      <color rgb="FF8427A9"/>
      <color rgb="FF9B06CA"/>
      <color rgb="FF900B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500"/>
              <a:t>3.5" NAS Drives</a:t>
            </a:r>
            <a:r>
              <a:rPr lang="en-US" sz="1500" baseline="0"/>
              <a:t> </a:t>
            </a:r>
            <a:r>
              <a:rPr lang="en-US" sz="1500"/>
              <a:t>Avg Cost</a:t>
            </a:r>
          </a:p>
          <a:p>
            <a:pPr>
              <a:defRPr/>
            </a:pPr>
            <a:r>
              <a:rPr lang="en-US" sz="1500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numFmt formatCode="&quot;$&quot;#,##0.00" sourceLinked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088648293963256"/>
          <c:y val="0.28064814814814815"/>
          <c:w val="0.8585579615048119"/>
          <c:h val="0.519429133858267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Tables!$B$5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&quot;$&quot;#,##0.00" sourceLinked="0"/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Tables!$A$6:$A$16</c:f>
              <c:strCache>
                <c:ptCount val="10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</c:strCache>
            </c:strRef>
          </c:cat>
          <c:val>
            <c:numRef>
              <c:f>Tables!$B$6:$B$16</c:f>
              <c:numCache>
                <c:formatCode>"$"#,##0.00</c:formatCode>
                <c:ptCount val="10"/>
                <c:pt idx="0">
                  <c:v>0</c:v>
                </c:pt>
                <c:pt idx="1">
                  <c:v>12.693232800000001</c:v>
                </c:pt>
                <c:pt idx="2">
                  <c:v>14.799819999999999</c:v>
                </c:pt>
                <c:pt idx="3">
                  <c:v>8.295186666666666</c:v>
                </c:pt>
                <c:pt idx="4">
                  <c:v>9.2305838888888907</c:v>
                </c:pt>
                <c:pt idx="5">
                  <c:v>14.0212</c:v>
                </c:pt>
                <c:pt idx="6">
                  <c:v>8.0426636363636366</c:v>
                </c:pt>
                <c:pt idx="7">
                  <c:v>7.6685169999999996</c:v>
                </c:pt>
                <c:pt idx="8">
                  <c:v>6.8542585000000003</c:v>
                </c:pt>
                <c:pt idx="9">
                  <c:v>8.7722333333333342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31C-473B-8837-61EB2BB4D6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486600680"/>
        <c:axId val="486599112"/>
      </c:barChart>
      <c:catAx>
        <c:axId val="4866006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6599112"/>
        <c:crosses val="autoZero"/>
        <c:auto val="1"/>
        <c:lblAlgn val="ctr"/>
        <c:lblOffset val="100"/>
        <c:noMultiLvlLbl val="0"/>
      </c:catAx>
      <c:valAx>
        <c:axId val="486599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6600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</a:t>
            </a:r>
            <a:r>
              <a:rPr lang="en-US" baseline="0"/>
              <a:t> </a:t>
            </a:r>
            <a:r>
              <a:rPr lang="en-US"/>
              <a:t>Avg Energy Cost</a:t>
            </a:r>
          </a:p>
          <a:p>
            <a:pPr>
              <a:defRPr/>
            </a:pPr>
            <a:r>
              <a:rPr lang="en-US"/>
              <a:t>by Size per TB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Tables!$B$23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Tables!$A$24:$A$34</c:f>
              <c:strCache>
                <c:ptCount val="10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</c:strCache>
            </c:strRef>
          </c:cat>
          <c:val>
            <c:numRef>
              <c:f>Tables!$B$24:$B$34</c:f>
              <c:numCache>
                <c:formatCode>"$"#,##0.000</c:formatCode>
                <c:ptCount val="10"/>
                <c:pt idx="0">
                  <c:v>7.4021973333333335</c:v>
                </c:pt>
                <c:pt idx="1">
                  <c:v>3.5444350560000002</c:v>
                </c:pt>
                <c:pt idx="2">
                  <c:v>2.4965980200000004</c:v>
                </c:pt>
                <c:pt idx="3">
                  <c:v>1.789676</c:v>
                </c:pt>
                <c:pt idx="4">
                  <c:v>1.6106475266666669</c:v>
                </c:pt>
                <c:pt idx="5">
                  <c:v>1.4112873600000002</c:v>
                </c:pt>
                <c:pt idx="6">
                  <c:v>1.1997469927272728</c:v>
                </c:pt>
                <c:pt idx="7">
                  <c:v>0.85959234000000007</c:v>
                </c:pt>
                <c:pt idx="8">
                  <c:v>0.57497907000000004</c:v>
                </c:pt>
                <c:pt idx="9">
                  <c:v>0.50695312000000003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C80-421A-B0EF-7520CA8616D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86599896"/>
        <c:axId val="486600288"/>
      </c:barChart>
      <c:catAx>
        <c:axId val="4865998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</a:t>
                </a:r>
                <a:r>
                  <a:rPr lang="en-US" baseline="0"/>
                  <a:t>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6600288"/>
        <c:crosses val="autoZero"/>
        <c:auto val="1"/>
        <c:lblAlgn val="ctr"/>
        <c:lblOffset val="100"/>
        <c:noMultiLvlLbl val="0"/>
      </c:catAx>
      <c:valAx>
        <c:axId val="486600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65998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analysis.xlsx]Tables!PivotTable6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Energy Cost</a:t>
            </a:r>
          </a:p>
          <a:p>
            <a:pPr>
              <a:defRPr/>
            </a:pPr>
            <a:r>
              <a:rPr lang="en-US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Tables!$B$41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Tables!$A$42:$A$52</c:f>
              <c:strCache>
                <c:ptCount val="10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</c:strCache>
            </c:strRef>
          </c:cat>
          <c:val>
            <c:numRef>
              <c:f>Tables!$B$42:$B$52</c:f>
              <c:numCache>
                <c:formatCode>"$"#,##0.000</c:formatCode>
                <c:ptCount val="10"/>
                <c:pt idx="0">
                  <c:v>6.6619776000000002</c:v>
                </c:pt>
                <c:pt idx="1">
                  <c:v>3.5444350560000002</c:v>
                </c:pt>
                <c:pt idx="2">
                  <c:v>4.9931960400000008</c:v>
                </c:pt>
                <c:pt idx="3">
                  <c:v>5.3690280000000001</c:v>
                </c:pt>
                <c:pt idx="4">
                  <c:v>6.4425901066666675</c:v>
                </c:pt>
                <c:pt idx="5">
                  <c:v>7.0564368000000002</c:v>
                </c:pt>
                <c:pt idx="6">
                  <c:v>7.1984819563636364</c:v>
                </c:pt>
                <c:pt idx="7">
                  <c:v>6.8767387200000005</c:v>
                </c:pt>
                <c:pt idx="8">
                  <c:v>5.7497907000000001</c:v>
                </c:pt>
                <c:pt idx="9">
                  <c:v>6.08343744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825-41DE-8ABE-B6A81796327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86601464"/>
        <c:axId val="486608912"/>
      </c:barChart>
      <c:catAx>
        <c:axId val="4866014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</a:t>
                </a:r>
                <a:r>
                  <a:rPr lang="en-US" baseline="0"/>
                  <a:t> IN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6608912"/>
        <c:crosses val="autoZero"/>
        <c:auto val="1"/>
        <c:lblAlgn val="ctr"/>
        <c:lblOffset val="100"/>
        <c:noMultiLvlLbl val="0"/>
      </c:catAx>
      <c:valAx>
        <c:axId val="486608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66014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analysis.xlsx]Tables!PivotTable5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Cost</a:t>
            </a:r>
          </a:p>
          <a:p>
            <a:pPr>
              <a:defRPr/>
            </a:pPr>
            <a:r>
              <a:rPr lang="en-US"/>
              <a:t>by RPM by Manu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Tables!$B$60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Tables!$A$61:$A$74</c:f>
              <c:multiLvlStrCache>
                <c:ptCount val="8"/>
                <c:lvl>
                  <c:pt idx="0">
                    <c:v>WD</c:v>
                  </c:pt>
                  <c:pt idx="1">
                    <c:v>WD</c:v>
                  </c:pt>
                  <c:pt idx="2">
                    <c:v>Seagate</c:v>
                  </c:pt>
                  <c:pt idx="3">
                    <c:v>HGST</c:v>
                  </c:pt>
                  <c:pt idx="4">
                    <c:v>Seagate</c:v>
                  </c:pt>
                  <c:pt idx="5">
                    <c:v>Toshiba</c:v>
                  </c:pt>
                  <c:pt idx="6">
                    <c:v>WD</c:v>
                  </c:pt>
                  <c:pt idx="7">
                    <c:v>Seagate</c:v>
                  </c:pt>
                </c:lvl>
                <c:lvl>
                  <c:pt idx="0">
                    <c:v>5,400</c:v>
                  </c:pt>
                  <c:pt idx="1">
                    <c:v>5,760</c:v>
                  </c:pt>
                  <c:pt idx="2">
                    <c:v>5,900</c:v>
                  </c:pt>
                  <c:pt idx="3">
                    <c:v>7,200</c:v>
                  </c:pt>
                  <c:pt idx="7">
                    <c:v>15,000</c:v>
                  </c:pt>
                </c:lvl>
              </c:multiLvlStrCache>
            </c:multiLvlStrRef>
          </c:cat>
          <c:val>
            <c:numRef>
              <c:f>Tables!$B$61:$B$74</c:f>
              <c:numCache>
                <c:formatCode>"$"#,##0.00</c:formatCode>
                <c:ptCount val="8"/>
                <c:pt idx="0">
                  <c:v>48.634829791666675</c:v>
                </c:pt>
                <c:pt idx="1">
                  <c:v>32.531300000000002</c:v>
                </c:pt>
                <c:pt idx="2">
                  <c:v>50.673350666666664</c:v>
                </c:pt>
                <c:pt idx="3">
                  <c:v>46.453544166666667</c:v>
                </c:pt>
                <c:pt idx="4">
                  <c:v>51.004262750000002</c:v>
                </c:pt>
                <c:pt idx="5">
                  <c:v>35.077648611111115</c:v>
                </c:pt>
                <c:pt idx="6">
                  <c:v>49.521029761904764</c:v>
                </c:pt>
                <c:pt idx="7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0DA-4CBF-A403-38EFD55286E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86610872"/>
        <c:axId val="486607736"/>
      </c:barChart>
      <c:catAx>
        <c:axId val="4866108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6607736"/>
        <c:crosses val="autoZero"/>
        <c:auto val="1"/>
        <c:lblAlgn val="ctr"/>
        <c:lblOffset val="100"/>
        <c:noMultiLvlLbl val="0"/>
      </c:catAx>
      <c:valAx>
        <c:axId val="486607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66108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analysis.xlsx]Tables!PivotTable7</c:name>
    <c:fmtId val="0"/>
  </c:pivotSource>
  <c:chart>
    <c:autoTitleDeleted val="1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Tables!$B$82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multiLvlStrRef>
              <c:f>Tables!$A$83:$A$113</c:f>
              <c:multiLvlStrCache>
                <c:ptCount val="21"/>
                <c:lvl>
                  <c:pt idx="0">
                    <c:v>5,400</c:v>
                  </c:pt>
                  <c:pt idx="1">
                    <c:v>5,900</c:v>
                  </c:pt>
                  <c:pt idx="2">
                    <c:v>5,400</c:v>
                  </c:pt>
                  <c:pt idx="3">
                    <c:v>5,900</c:v>
                  </c:pt>
                  <c:pt idx="4">
                    <c:v>7,200</c:v>
                  </c:pt>
                  <c:pt idx="5">
                    <c:v>5,400</c:v>
                  </c:pt>
                  <c:pt idx="6">
                    <c:v>5,900</c:v>
                  </c:pt>
                  <c:pt idx="7">
                    <c:v>7,200</c:v>
                  </c:pt>
                  <c:pt idx="8">
                    <c:v>5,400</c:v>
                  </c:pt>
                  <c:pt idx="9">
                    <c:v>5,900</c:v>
                  </c:pt>
                  <c:pt idx="10">
                    <c:v>7,200</c:v>
                  </c:pt>
                  <c:pt idx="11">
                    <c:v>5,400</c:v>
                  </c:pt>
                  <c:pt idx="12">
                    <c:v>7,200</c:v>
                  </c:pt>
                  <c:pt idx="13">
                    <c:v>5,400</c:v>
                  </c:pt>
                  <c:pt idx="14">
                    <c:v>5,760</c:v>
                  </c:pt>
                  <c:pt idx="15">
                    <c:v>7,200</c:v>
                  </c:pt>
                  <c:pt idx="16">
                    <c:v>5,400</c:v>
                  </c:pt>
                  <c:pt idx="17">
                    <c:v>7,200</c:v>
                  </c:pt>
                  <c:pt idx="18">
                    <c:v>5,400</c:v>
                  </c:pt>
                  <c:pt idx="19">
                    <c:v>7,200</c:v>
                  </c:pt>
                  <c:pt idx="20">
                    <c:v>7,200</c:v>
                  </c:pt>
                </c:lvl>
                <c:lvl>
                  <c:pt idx="0">
                    <c:v>1.00</c:v>
                  </c:pt>
                  <c:pt idx="2">
                    <c:v>2.00</c:v>
                  </c:pt>
                  <c:pt idx="5">
                    <c:v>3.00</c:v>
                  </c:pt>
                  <c:pt idx="8">
                    <c:v>4.00</c:v>
                  </c:pt>
                  <c:pt idx="11">
                    <c:v>5.00</c:v>
                  </c:pt>
                  <c:pt idx="13">
                    <c:v>6.00</c:v>
                  </c:pt>
                  <c:pt idx="16">
                    <c:v>8.00</c:v>
                  </c:pt>
                  <c:pt idx="18">
                    <c:v>10.00</c:v>
                  </c:pt>
                  <c:pt idx="20">
                    <c:v>12.00</c:v>
                  </c:pt>
                </c:lvl>
              </c:multiLvlStrCache>
            </c:multiLvlStrRef>
          </c:cat>
          <c:val>
            <c:numRef>
              <c:f>Tables!$B$83:$B$113</c:f>
              <c:numCache>
                <c:formatCode>0.00</c:formatCode>
                <c:ptCount val="21"/>
                <c:pt idx="0">
                  <c:v>14.399999999999999</c:v>
                </c:pt>
                <c:pt idx="1">
                  <c:v>14.399999999999999</c:v>
                </c:pt>
                <c:pt idx="2">
                  <c:v>20.759999999999998</c:v>
                </c:pt>
                <c:pt idx="3">
                  <c:v>24</c:v>
                </c:pt>
                <c:pt idx="4">
                  <c:v>23.4</c:v>
                </c:pt>
                <c:pt idx="5">
                  <c:v>20.759999999999998</c:v>
                </c:pt>
                <c:pt idx="6">
                  <c:v>24</c:v>
                </c:pt>
                <c:pt idx="7">
                  <c:v>22.799999999999997</c:v>
                </c:pt>
                <c:pt idx="8">
                  <c:v>21</c:v>
                </c:pt>
                <c:pt idx="9">
                  <c:v>22.8</c:v>
                </c:pt>
                <c:pt idx="10">
                  <c:v>25.16</c:v>
                </c:pt>
                <c:pt idx="11">
                  <c:v>21</c:v>
                </c:pt>
                <c:pt idx="12">
                  <c:v>22.799999999999997</c:v>
                </c:pt>
                <c:pt idx="13">
                  <c:v>21</c:v>
                </c:pt>
                <c:pt idx="15">
                  <c:v>24.270000000000003</c:v>
                </c:pt>
                <c:pt idx="16">
                  <c:v>21.48</c:v>
                </c:pt>
                <c:pt idx="17">
                  <c:v>24.270000000000003</c:v>
                </c:pt>
                <c:pt idx="18">
                  <c:v>21.48</c:v>
                </c:pt>
                <c:pt idx="19">
                  <c:v>24.299999999999997</c:v>
                </c:pt>
                <c:pt idx="20">
                  <c:v>22.8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B7FA-4427-B5CF-9DF4FE4622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486608128"/>
        <c:axId val="486609304"/>
      </c:barChart>
      <c:catAx>
        <c:axId val="486608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6609304"/>
        <c:crosses val="autoZero"/>
        <c:auto val="1"/>
        <c:lblAlgn val="ctr"/>
        <c:lblOffset val="100"/>
        <c:noMultiLvlLbl val="0"/>
      </c:catAx>
      <c:valAx>
        <c:axId val="486609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Max</a:t>
                </a:r>
                <a:r>
                  <a:rPr lang="en-US" baseline="0"/>
                  <a:t> Startup Watts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66081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 orientation="portrait"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1"/>
          <c:order val="0"/>
          <c:tx>
            <c:strRef>
              <c:f>'Drive Table'!$C$3:$C$122</c:f>
              <c:strCache>
                <c:ptCount val="120"/>
                <c:pt idx="0">
                  <c:v>Deskstar NAS</c:v>
                </c:pt>
                <c:pt idx="1">
                  <c:v>Deskstar NAS</c:v>
                </c:pt>
                <c:pt idx="2">
                  <c:v>Deskstar NAS</c:v>
                </c:pt>
                <c:pt idx="3">
                  <c:v>Deskstar NAS</c:v>
                </c:pt>
                <c:pt idx="4">
                  <c:v>Travelstar 5K100</c:v>
                </c:pt>
                <c:pt idx="5">
                  <c:v>Travelstar 7K100</c:v>
                </c:pt>
                <c:pt idx="6">
                  <c:v>Ultrastar 7K600</c:v>
                </c:pt>
                <c:pt idx="7">
                  <c:v>Ultrastar 7K600</c:v>
                </c:pt>
                <c:pt idx="8">
                  <c:v>Ultrastar 7K600</c:v>
                </c:pt>
                <c:pt idx="9">
                  <c:v>Ultrastar 7K600</c:v>
                </c:pt>
                <c:pt idx="10">
                  <c:v>Ultrastar Archive Ha10</c:v>
                </c:pt>
                <c:pt idx="11">
                  <c:v>Ultrastar C10K1200</c:v>
                </c:pt>
                <c:pt idx="12">
                  <c:v>Ultrastar C10K1800</c:v>
                </c:pt>
                <c:pt idx="13">
                  <c:v>Ultrastar C15K600</c:v>
                </c:pt>
                <c:pt idx="14">
                  <c:v>Ultrastar He6</c:v>
                </c:pt>
                <c:pt idx="15">
                  <c:v>Ultrastar He8</c:v>
                </c:pt>
                <c:pt idx="16">
                  <c:v>Ultrastar He10</c:v>
                </c:pt>
                <c:pt idx="17">
                  <c:v>Ultrastar He12</c:v>
                </c:pt>
                <c:pt idx="18">
                  <c:v>Ultrastar Hs14</c:v>
                </c:pt>
                <c:pt idx="19">
                  <c:v>BarraCuda</c:v>
                </c:pt>
                <c:pt idx="20">
                  <c:v>BarraCuda</c:v>
                </c:pt>
                <c:pt idx="21">
                  <c:v>BarraCuda</c:v>
                </c:pt>
                <c:pt idx="22">
                  <c:v>BarraCuda</c:v>
                </c:pt>
                <c:pt idx="23">
                  <c:v>BarraCuda</c:v>
                </c:pt>
                <c:pt idx="24">
                  <c:v>BarraCuda</c:v>
                </c:pt>
                <c:pt idx="25">
                  <c:v>BarraCuda</c:v>
                </c:pt>
                <c:pt idx="26">
                  <c:v>BarraCuda</c:v>
                </c:pt>
                <c:pt idx="27">
                  <c:v>BarraCuda</c:v>
                </c:pt>
                <c:pt idx="28">
                  <c:v>BarraCuda Pro</c:v>
                </c:pt>
                <c:pt idx="29">
                  <c:v>BarraCuda Pro</c:v>
                </c:pt>
                <c:pt idx="30">
                  <c:v>BarraCuda Pro</c:v>
                </c:pt>
                <c:pt idx="31">
                  <c:v>BarraCuda Pro</c:v>
                </c:pt>
                <c:pt idx="32">
                  <c:v>BarraCuda Pro</c:v>
                </c:pt>
                <c:pt idx="33">
                  <c:v>BarraCuda Pro</c:v>
                </c:pt>
                <c:pt idx="34">
                  <c:v>Exos 10E2400</c:v>
                </c:pt>
                <c:pt idx="35">
                  <c:v>Exos 10E2400</c:v>
                </c:pt>
                <c:pt idx="36">
                  <c:v>Exos 15E900</c:v>
                </c:pt>
                <c:pt idx="37">
                  <c:v>Exos 5E8</c:v>
                </c:pt>
                <c:pt idx="38">
                  <c:v>Exos 7E2</c:v>
                </c:pt>
                <c:pt idx="39">
                  <c:v>Exos 7E2</c:v>
                </c:pt>
                <c:pt idx="40">
                  <c:v>Exos 7E2000</c:v>
                </c:pt>
                <c:pt idx="41">
                  <c:v>Exos 7E2000</c:v>
                </c:pt>
                <c:pt idx="42">
                  <c:v>Exos 7E8</c:v>
                </c:pt>
                <c:pt idx="43">
                  <c:v>Exos 7E8</c:v>
                </c:pt>
                <c:pt idx="44">
                  <c:v>Exos 7E8</c:v>
                </c:pt>
                <c:pt idx="45">
                  <c:v>Exos 7E8</c:v>
                </c:pt>
                <c:pt idx="46">
                  <c:v>Exos 7E8</c:v>
                </c:pt>
                <c:pt idx="47">
                  <c:v>Exos X10</c:v>
                </c:pt>
                <c:pt idx="48">
                  <c:v>Exos X10</c:v>
                </c:pt>
                <c:pt idx="49">
                  <c:v>Exos X12</c:v>
                </c:pt>
                <c:pt idx="50">
                  <c:v>FireCuda SSHD</c:v>
                </c:pt>
                <c:pt idx="51">
                  <c:v>FireCuda SSHD</c:v>
                </c:pt>
                <c:pt idx="52">
                  <c:v>FireCuda SSHD</c:v>
                </c:pt>
                <c:pt idx="53">
                  <c:v>FireCuda SSHD</c:v>
                </c:pt>
                <c:pt idx="54">
                  <c:v>IronWolf</c:v>
                </c:pt>
                <c:pt idx="55">
                  <c:v>IronWolf</c:v>
                </c:pt>
                <c:pt idx="56">
                  <c:v>IronWolf</c:v>
                </c:pt>
                <c:pt idx="57">
                  <c:v>IronWolf</c:v>
                </c:pt>
                <c:pt idx="58">
                  <c:v>IronWolf</c:v>
                </c:pt>
                <c:pt idx="59">
                  <c:v>IronWolf</c:v>
                </c:pt>
                <c:pt idx="60">
                  <c:v>IronWolf</c:v>
                </c:pt>
                <c:pt idx="61">
                  <c:v>IronWolf</c:v>
                </c:pt>
                <c:pt idx="62">
                  <c:v>IronWolf Pro</c:v>
                </c:pt>
                <c:pt idx="63">
                  <c:v>IronWolf Pro</c:v>
                </c:pt>
                <c:pt idx="64">
                  <c:v>IronWolf Pro</c:v>
                </c:pt>
                <c:pt idx="65">
                  <c:v>IronWolf Pro</c:v>
                </c:pt>
                <c:pt idx="66">
                  <c:v>IronWolf Pro</c:v>
                </c:pt>
                <c:pt idx="67">
                  <c:v>IronWolf Pro</c:v>
                </c:pt>
                <c:pt idx="68">
                  <c:v>Terascale</c:v>
                </c:pt>
                <c:pt idx="69">
                  <c:v>Enterprise Capacity</c:v>
                </c:pt>
                <c:pt idx="70">
                  <c:v>Enterprise Capacity</c:v>
                </c:pt>
                <c:pt idx="71">
                  <c:v>Enterprise Capacity</c:v>
                </c:pt>
                <c:pt idx="72">
                  <c:v>Enterprise Performance</c:v>
                </c:pt>
                <c:pt idx="73">
                  <c:v>Enterprise Performance</c:v>
                </c:pt>
                <c:pt idx="74">
                  <c:v>N300</c:v>
                </c:pt>
                <c:pt idx="75">
                  <c:v>N300</c:v>
                </c:pt>
                <c:pt idx="76">
                  <c:v>N300</c:v>
                </c:pt>
                <c:pt idx="77">
                  <c:v>P300</c:v>
                </c:pt>
                <c:pt idx="78">
                  <c:v>P300</c:v>
                </c:pt>
                <c:pt idx="79">
                  <c:v>P300</c:v>
                </c:pt>
                <c:pt idx="80">
                  <c:v>X300</c:v>
                </c:pt>
                <c:pt idx="81">
                  <c:v>X300</c:v>
                </c:pt>
                <c:pt idx="82">
                  <c:v>X300</c:v>
                </c:pt>
                <c:pt idx="83">
                  <c:v>X300</c:v>
                </c:pt>
                <c:pt idx="84">
                  <c:v>Ae</c:v>
                </c:pt>
                <c:pt idx="85">
                  <c:v>Black</c:v>
                </c:pt>
                <c:pt idx="86">
                  <c:v>Black</c:v>
                </c:pt>
                <c:pt idx="87">
                  <c:v>Black</c:v>
                </c:pt>
                <c:pt idx="88">
                  <c:v>Black</c:v>
                </c:pt>
                <c:pt idx="89">
                  <c:v>Black</c:v>
                </c:pt>
                <c:pt idx="90">
                  <c:v>Blue</c:v>
                </c:pt>
                <c:pt idx="91">
                  <c:v>Blue</c:v>
                </c:pt>
                <c:pt idx="92">
                  <c:v>Blue</c:v>
                </c:pt>
                <c:pt idx="93">
                  <c:v>Blue</c:v>
                </c:pt>
                <c:pt idx="94">
                  <c:v>Blue</c:v>
                </c:pt>
                <c:pt idx="95">
                  <c:v>Blue</c:v>
                </c:pt>
                <c:pt idx="96">
                  <c:v>Blue</c:v>
                </c:pt>
                <c:pt idx="97">
                  <c:v>Gold Enterprise</c:v>
                </c:pt>
                <c:pt idx="98">
                  <c:v>Gold Enterprise</c:v>
                </c:pt>
                <c:pt idx="99">
                  <c:v>Gold Enterprise</c:v>
                </c:pt>
                <c:pt idx="100">
                  <c:v>Gold Enterprise</c:v>
                </c:pt>
                <c:pt idx="101">
                  <c:v>Gold Enterprise</c:v>
                </c:pt>
                <c:pt idx="102">
                  <c:v>Gold Enterprise</c:v>
                </c:pt>
                <c:pt idx="103">
                  <c:v>Gold Enterprise</c:v>
                </c:pt>
                <c:pt idx="104">
                  <c:v>Red NAS</c:v>
                </c:pt>
                <c:pt idx="105">
                  <c:v>Red NAS</c:v>
                </c:pt>
                <c:pt idx="106">
                  <c:v>Red NAS</c:v>
                </c:pt>
                <c:pt idx="107">
                  <c:v>Red NAS</c:v>
                </c:pt>
                <c:pt idx="108">
                  <c:v>Red NAS</c:v>
                </c:pt>
                <c:pt idx="109">
                  <c:v>Red NAS</c:v>
                </c:pt>
                <c:pt idx="110">
                  <c:v>Red NAS</c:v>
                </c:pt>
                <c:pt idx="111">
                  <c:v>Red NAS</c:v>
                </c:pt>
                <c:pt idx="112">
                  <c:v>Red NAS</c:v>
                </c:pt>
                <c:pt idx="113">
                  <c:v>Red NAS</c:v>
                </c:pt>
                <c:pt idx="114">
                  <c:v>RED NAS Pro</c:v>
                </c:pt>
                <c:pt idx="115">
                  <c:v>RED NAS Pro</c:v>
                </c:pt>
                <c:pt idx="116">
                  <c:v>RED NAS Pro</c:v>
                </c:pt>
                <c:pt idx="117">
                  <c:v>RED NAS Pro</c:v>
                </c:pt>
                <c:pt idx="118">
                  <c:v>RED NAS Pro</c:v>
                </c:pt>
                <c:pt idx="119">
                  <c:v>RED NAS Pro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2"/>
                </a:solidFill>
                <a:prstDash val="sysDash"/>
              </a:ln>
              <a:effectLst/>
            </c:spPr>
            <c:trendlineType val="linear"/>
            <c:dispRSqr val="0"/>
            <c:dispEq val="0"/>
          </c:trendline>
          <c:xVal>
            <c:numRef>
              <c:f>'Drive Table'!$F$3:$F$123</c:f>
              <c:numCache>
                <c:formatCode>0.00</c:formatCode>
                <c:ptCount val="121"/>
                <c:pt idx="0">
                  <c:v>4</c:v>
                </c:pt>
                <c:pt idx="1">
                  <c:v>6</c:v>
                </c:pt>
                <c:pt idx="2">
                  <c:v>8</c:v>
                </c:pt>
                <c:pt idx="3">
                  <c:v>10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4</c:v>
                </c:pt>
                <c:pt idx="8">
                  <c:v>5</c:v>
                </c:pt>
                <c:pt idx="9">
                  <c:v>6</c:v>
                </c:pt>
                <c:pt idx="10">
                  <c:v>8</c:v>
                </c:pt>
                <c:pt idx="11">
                  <c:v>1.2</c:v>
                </c:pt>
                <c:pt idx="12">
                  <c:v>1.8</c:v>
                </c:pt>
                <c:pt idx="13">
                  <c:v>0.6</c:v>
                </c:pt>
                <c:pt idx="14">
                  <c:v>6</c:v>
                </c:pt>
                <c:pt idx="15">
                  <c:v>8</c:v>
                </c:pt>
                <c:pt idx="16">
                  <c:v>10</c:v>
                </c:pt>
                <c:pt idx="17">
                  <c:v>12</c:v>
                </c:pt>
                <c:pt idx="18">
                  <c:v>14</c:v>
                </c:pt>
                <c:pt idx="19">
                  <c:v>1</c:v>
                </c:pt>
                <c:pt idx="20">
                  <c:v>2</c:v>
                </c:pt>
                <c:pt idx="21">
                  <c:v>3</c:v>
                </c:pt>
                <c:pt idx="22">
                  <c:v>4</c:v>
                </c:pt>
                <c:pt idx="23">
                  <c:v>1</c:v>
                </c:pt>
                <c:pt idx="24">
                  <c:v>2</c:v>
                </c:pt>
                <c:pt idx="25">
                  <c:v>3</c:v>
                </c:pt>
                <c:pt idx="26">
                  <c:v>4</c:v>
                </c:pt>
                <c:pt idx="27">
                  <c:v>5</c:v>
                </c:pt>
                <c:pt idx="28">
                  <c:v>2</c:v>
                </c:pt>
                <c:pt idx="29">
                  <c:v>4</c:v>
                </c:pt>
                <c:pt idx="30">
                  <c:v>6</c:v>
                </c:pt>
                <c:pt idx="31">
                  <c:v>8</c:v>
                </c:pt>
                <c:pt idx="32">
                  <c:v>10</c:v>
                </c:pt>
                <c:pt idx="33">
                  <c:v>12</c:v>
                </c:pt>
                <c:pt idx="34">
                  <c:v>1.8</c:v>
                </c:pt>
                <c:pt idx="35">
                  <c:v>2.4</c:v>
                </c:pt>
                <c:pt idx="36">
                  <c:v>0.9</c:v>
                </c:pt>
                <c:pt idx="37">
                  <c:v>8</c:v>
                </c:pt>
                <c:pt idx="38">
                  <c:v>1</c:v>
                </c:pt>
                <c:pt idx="39">
                  <c:v>2</c:v>
                </c:pt>
                <c:pt idx="40">
                  <c:v>1</c:v>
                </c:pt>
                <c:pt idx="41">
                  <c:v>2</c:v>
                </c:pt>
                <c:pt idx="42">
                  <c:v>1</c:v>
                </c:pt>
                <c:pt idx="43">
                  <c:v>2</c:v>
                </c:pt>
                <c:pt idx="44">
                  <c:v>4</c:v>
                </c:pt>
                <c:pt idx="45">
                  <c:v>6</c:v>
                </c:pt>
                <c:pt idx="46">
                  <c:v>8</c:v>
                </c:pt>
                <c:pt idx="47">
                  <c:v>8</c:v>
                </c:pt>
                <c:pt idx="48">
                  <c:v>10</c:v>
                </c:pt>
                <c:pt idx="49">
                  <c:v>12</c:v>
                </c:pt>
                <c:pt idx="50">
                  <c:v>1</c:v>
                </c:pt>
                <c:pt idx="51">
                  <c:v>2</c:v>
                </c:pt>
                <c:pt idx="52">
                  <c:v>1</c:v>
                </c:pt>
                <c:pt idx="53">
                  <c:v>2</c:v>
                </c:pt>
                <c:pt idx="54">
                  <c:v>1</c:v>
                </c:pt>
                <c:pt idx="55">
                  <c:v>2</c:v>
                </c:pt>
                <c:pt idx="56">
                  <c:v>3</c:v>
                </c:pt>
                <c:pt idx="57">
                  <c:v>4</c:v>
                </c:pt>
                <c:pt idx="58">
                  <c:v>6</c:v>
                </c:pt>
                <c:pt idx="59">
                  <c:v>8</c:v>
                </c:pt>
                <c:pt idx="60">
                  <c:v>10</c:v>
                </c:pt>
                <c:pt idx="61">
                  <c:v>12</c:v>
                </c:pt>
                <c:pt idx="62">
                  <c:v>2</c:v>
                </c:pt>
                <c:pt idx="63">
                  <c:v>4</c:v>
                </c:pt>
                <c:pt idx="64">
                  <c:v>6</c:v>
                </c:pt>
                <c:pt idx="65">
                  <c:v>8</c:v>
                </c:pt>
                <c:pt idx="66">
                  <c:v>10</c:v>
                </c:pt>
                <c:pt idx="67">
                  <c:v>12</c:v>
                </c:pt>
                <c:pt idx="68">
                  <c:v>4</c:v>
                </c:pt>
                <c:pt idx="69">
                  <c:v>6</c:v>
                </c:pt>
                <c:pt idx="70">
                  <c:v>8</c:v>
                </c:pt>
                <c:pt idx="71">
                  <c:v>10</c:v>
                </c:pt>
                <c:pt idx="72">
                  <c:v>1.8</c:v>
                </c:pt>
                <c:pt idx="73">
                  <c:v>0.9</c:v>
                </c:pt>
                <c:pt idx="74">
                  <c:v>4</c:v>
                </c:pt>
                <c:pt idx="75">
                  <c:v>6</c:v>
                </c:pt>
                <c:pt idx="76">
                  <c:v>8</c:v>
                </c:pt>
                <c:pt idx="77">
                  <c:v>1</c:v>
                </c:pt>
                <c:pt idx="78">
                  <c:v>2</c:v>
                </c:pt>
                <c:pt idx="79">
                  <c:v>3</c:v>
                </c:pt>
                <c:pt idx="80">
                  <c:v>4</c:v>
                </c:pt>
                <c:pt idx="81">
                  <c:v>5</c:v>
                </c:pt>
                <c:pt idx="82">
                  <c:v>6</c:v>
                </c:pt>
                <c:pt idx="83">
                  <c:v>8</c:v>
                </c:pt>
                <c:pt idx="84">
                  <c:v>6</c:v>
                </c:pt>
                <c:pt idx="85">
                  <c:v>1</c:v>
                </c:pt>
                <c:pt idx="86">
                  <c:v>1</c:v>
                </c:pt>
                <c:pt idx="87">
                  <c:v>2</c:v>
                </c:pt>
                <c:pt idx="88">
                  <c:v>4</c:v>
                </c:pt>
                <c:pt idx="89">
                  <c:v>6</c:v>
                </c:pt>
                <c:pt idx="90">
                  <c:v>1</c:v>
                </c:pt>
                <c:pt idx="91">
                  <c:v>2</c:v>
                </c:pt>
                <c:pt idx="92">
                  <c:v>3</c:v>
                </c:pt>
                <c:pt idx="93">
                  <c:v>4</c:v>
                </c:pt>
                <c:pt idx="94">
                  <c:v>6</c:v>
                </c:pt>
                <c:pt idx="95">
                  <c:v>1</c:v>
                </c:pt>
                <c:pt idx="96">
                  <c:v>2</c:v>
                </c:pt>
                <c:pt idx="97">
                  <c:v>1</c:v>
                </c:pt>
                <c:pt idx="98">
                  <c:v>2</c:v>
                </c:pt>
                <c:pt idx="99">
                  <c:v>4</c:v>
                </c:pt>
                <c:pt idx="100">
                  <c:v>6</c:v>
                </c:pt>
                <c:pt idx="101">
                  <c:v>8</c:v>
                </c:pt>
                <c:pt idx="102">
                  <c:v>10</c:v>
                </c:pt>
                <c:pt idx="103">
                  <c:v>12</c:v>
                </c:pt>
                <c:pt idx="104">
                  <c:v>0.75</c:v>
                </c:pt>
                <c:pt idx="105">
                  <c:v>1</c:v>
                </c:pt>
                <c:pt idx="106">
                  <c:v>1</c:v>
                </c:pt>
                <c:pt idx="107">
                  <c:v>2</c:v>
                </c:pt>
                <c:pt idx="108">
                  <c:v>3</c:v>
                </c:pt>
                <c:pt idx="109">
                  <c:v>4</c:v>
                </c:pt>
                <c:pt idx="110">
                  <c:v>5</c:v>
                </c:pt>
                <c:pt idx="111">
                  <c:v>6</c:v>
                </c:pt>
                <c:pt idx="112">
                  <c:v>8</c:v>
                </c:pt>
                <c:pt idx="113">
                  <c:v>10</c:v>
                </c:pt>
                <c:pt idx="114">
                  <c:v>2</c:v>
                </c:pt>
                <c:pt idx="115">
                  <c:v>3</c:v>
                </c:pt>
                <c:pt idx="116">
                  <c:v>4</c:v>
                </c:pt>
                <c:pt idx="117">
                  <c:v>6</c:v>
                </c:pt>
                <c:pt idx="118">
                  <c:v>8</c:v>
                </c:pt>
                <c:pt idx="119">
                  <c:v>10</c:v>
                </c:pt>
                <c:pt idx="120">
                  <c:v>0.6</c:v>
                </c:pt>
              </c:numCache>
            </c:numRef>
          </c:xVal>
          <c:yVal>
            <c:numRef>
              <c:f>'Drive Table'!$X$3:$X$123</c:f>
              <c:numCache>
                <c:formatCode>"$"#,##0.00</c:formatCode>
                <c:ptCount val="121"/>
                <c:pt idx="0">
                  <c:v>27.498750000000001</c:v>
                </c:pt>
                <c:pt idx="1">
                  <c:v>29.831666666666667</c:v>
                </c:pt>
                <c:pt idx="2">
                  <c:v>28.748750000000001</c:v>
                </c:pt>
                <c:pt idx="3">
                  <c:v>29.999000000000002</c:v>
                </c:pt>
                <c:pt idx="4">
                  <c:v>49.99</c:v>
                </c:pt>
                <c:pt idx="5">
                  <c:v>49.99</c:v>
                </c:pt>
                <c:pt idx="6">
                  <c:v>73.19</c:v>
                </c:pt>
                <c:pt idx="7">
                  <c:v>48.712499999999999</c:v>
                </c:pt>
                <c:pt idx="8">
                  <c:v>56.391999999999996</c:v>
                </c:pt>
                <c:pt idx="9">
                  <c:v>42.936666666666667</c:v>
                </c:pt>
                <c:pt idx="10">
                  <c:v>46.625</c:v>
                </c:pt>
                <c:pt idx="11">
                  <c:v>141.66666666666669</c:v>
                </c:pt>
                <c:pt idx="12">
                  <c:v>127.77222222222223</c:v>
                </c:pt>
                <c:pt idx="13">
                  <c:v>316.58333333333331</c:v>
                </c:pt>
                <c:pt idx="14">
                  <c:v>28.331666666666667</c:v>
                </c:pt>
                <c:pt idx="15">
                  <c:v>35.625</c:v>
                </c:pt>
                <c:pt idx="16">
                  <c:v>34.999000000000002</c:v>
                </c:pt>
                <c:pt idx="17">
                  <c:v>51.664999999999999</c:v>
                </c:pt>
                <c:pt idx="18">
                  <c:v>0</c:v>
                </c:pt>
                <c:pt idx="19">
                  <c:v>46.99</c:v>
                </c:pt>
                <c:pt idx="20">
                  <c:v>29.995000000000001</c:v>
                </c:pt>
                <c:pt idx="21">
                  <c:v>23.33</c:v>
                </c:pt>
                <c:pt idx="22">
                  <c:v>24.997499999999999</c:v>
                </c:pt>
                <c:pt idx="23">
                  <c:v>49.99</c:v>
                </c:pt>
                <c:pt idx="24">
                  <c:v>33.494999999999997</c:v>
                </c:pt>
                <c:pt idx="25">
                  <c:v>29.996666666666666</c:v>
                </c:pt>
                <c:pt idx="26">
                  <c:v>28.747499999999999</c:v>
                </c:pt>
                <c:pt idx="27">
                  <c:v>41.998000000000005</c:v>
                </c:pt>
                <c:pt idx="28">
                  <c:v>63.994999999999997</c:v>
                </c:pt>
                <c:pt idx="29">
                  <c:v>43.747500000000002</c:v>
                </c:pt>
                <c:pt idx="30">
                  <c:v>41.664999999999999</c:v>
                </c:pt>
                <c:pt idx="31">
                  <c:v>40.623750000000001</c:v>
                </c:pt>
                <c:pt idx="32">
                  <c:v>42.499000000000002</c:v>
                </c:pt>
                <c:pt idx="33">
                  <c:v>43.332500000000003</c:v>
                </c:pt>
                <c:pt idx="34">
                  <c:v>0</c:v>
                </c:pt>
                <c:pt idx="35">
                  <c:v>214.57916666666668</c:v>
                </c:pt>
                <c:pt idx="36">
                  <c:v>0</c:v>
                </c:pt>
                <c:pt idx="37">
                  <c:v>28.748750000000001</c:v>
                </c:pt>
                <c:pt idx="38">
                  <c:v>0</c:v>
                </c:pt>
                <c:pt idx="39">
                  <c:v>153.30000000000001</c:v>
                </c:pt>
                <c:pt idx="40">
                  <c:v>184.41</c:v>
                </c:pt>
                <c:pt idx="41">
                  <c:v>164.995</c:v>
                </c:pt>
                <c:pt idx="42">
                  <c:v>99.99</c:v>
                </c:pt>
                <c:pt idx="43">
                  <c:v>69.995000000000005</c:v>
                </c:pt>
                <c:pt idx="44">
                  <c:v>47.497500000000002</c:v>
                </c:pt>
                <c:pt idx="45">
                  <c:v>40.831666666666671</c:v>
                </c:pt>
                <c:pt idx="46">
                  <c:v>36.248750000000001</c:v>
                </c:pt>
                <c:pt idx="47">
                  <c:v>32.498750000000001</c:v>
                </c:pt>
                <c:pt idx="48">
                  <c:v>36.499000000000002</c:v>
                </c:pt>
                <c:pt idx="49">
                  <c:v>40.768333333333338</c:v>
                </c:pt>
                <c:pt idx="50">
                  <c:v>87.22</c:v>
                </c:pt>
                <c:pt idx="51">
                  <c:v>56.85</c:v>
                </c:pt>
                <c:pt idx="52">
                  <c:v>68.319999999999993</c:v>
                </c:pt>
                <c:pt idx="53">
                  <c:v>56.28</c:v>
                </c:pt>
                <c:pt idx="54">
                  <c:v>62.71</c:v>
                </c:pt>
                <c:pt idx="55">
                  <c:v>42.494999999999997</c:v>
                </c:pt>
                <c:pt idx="56">
                  <c:v>34.996666666666663</c:v>
                </c:pt>
                <c:pt idx="57">
                  <c:v>32.497500000000002</c:v>
                </c:pt>
                <c:pt idx="58">
                  <c:v>33.331666666666671</c:v>
                </c:pt>
                <c:pt idx="59">
                  <c:v>32.232500000000002</c:v>
                </c:pt>
                <c:pt idx="60">
                  <c:v>34.999000000000002</c:v>
                </c:pt>
                <c:pt idx="61">
                  <c:v>39.374166666666667</c:v>
                </c:pt>
                <c:pt idx="62">
                  <c:v>62.494999999999997</c:v>
                </c:pt>
                <c:pt idx="63">
                  <c:v>47.497500000000002</c:v>
                </c:pt>
                <c:pt idx="64">
                  <c:v>43.331666666666671</c:v>
                </c:pt>
                <c:pt idx="65">
                  <c:v>39.998750000000001</c:v>
                </c:pt>
                <c:pt idx="66">
                  <c:v>40.999000000000002</c:v>
                </c:pt>
                <c:pt idx="67">
                  <c:v>42.499166666666667</c:v>
                </c:pt>
                <c:pt idx="68">
                  <c:v>47.497500000000002</c:v>
                </c:pt>
                <c:pt idx="69">
                  <c:v>45.361666666666672</c:v>
                </c:pt>
                <c:pt idx="70">
                  <c:v>42.602499999999999</c:v>
                </c:pt>
                <c:pt idx="71">
                  <c:v>0</c:v>
                </c:pt>
                <c:pt idx="72">
                  <c:v>193.88888888888889</c:v>
                </c:pt>
                <c:pt idx="73">
                  <c:v>215.98888888888888</c:v>
                </c:pt>
                <c:pt idx="74">
                  <c:v>34.997500000000002</c:v>
                </c:pt>
                <c:pt idx="75">
                  <c:v>36.664999999999999</c:v>
                </c:pt>
                <c:pt idx="76">
                  <c:v>28.748750000000001</c:v>
                </c:pt>
                <c:pt idx="77">
                  <c:v>49.99</c:v>
                </c:pt>
                <c:pt idx="78">
                  <c:v>35.994999999999997</c:v>
                </c:pt>
                <c:pt idx="79">
                  <c:v>23.33</c:v>
                </c:pt>
                <c:pt idx="80">
                  <c:v>32.497500000000002</c:v>
                </c:pt>
                <c:pt idx="81">
                  <c:v>28.393999999999998</c:v>
                </c:pt>
                <c:pt idx="82">
                  <c:v>28.331666666666667</c:v>
                </c:pt>
                <c:pt idx="83">
                  <c:v>31.873750000000001</c:v>
                </c:pt>
                <c:pt idx="84">
                  <c:v>26.665000000000003</c:v>
                </c:pt>
                <c:pt idx="85">
                  <c:v>66.989999999999995</c:v>
                </c:pt>
                <c:pt idx="86">
                  <c:v>69.989999999999995</c:v>
                </c:pt>
                <c:pt idx="87">
                  <c:v>62.494999999999997</c:v>
                </c:pt>
                <c:pt idx="88">
                  <c:v>46.247500000000002</c:v>
                </c:pt>
                <c:pt idx="89">
                  <c:v>33.331666666666671</c:v>
                </c:pt>
                <c:pt idx="90">
                  <c:v>44.99</c:v>
                </c:pt>
                <c:pt idx="91">
                  <c:v>29.995000000000001</c:v>
                </c:pt>
                <c:pt idx="92">
                  <c:v>26.66333333333333</c:v>
                </c:pt>
                <c:pt idx="93">
                  <c:v>24.997499999999999</c:v>
                </c:pt>
                <c:pt idx="94">
                  <c:v>32.831666666666671</c:v>
                </c:pt>
                <c:pt idx="95">
                  <c:v>55.99</c:v>
                </c:pt>
                <c:pt idx="96">
                  <c:v>70.91</c:v>
                </c:pt>
                <c:pt idx="97">
                  <c:v>74.989999999999995</c:v>
                </c:pt>
                <c:pt idx="98">
                  <c:v>59.994999999999997</c:v>
                </c:pt>
                <c:pt idx="99">
                  <c:v>41</c:v>
                </c:pt>
                <c:pt idx="100">
                  <c:v>39.164999999999999</c:v>
                </c:pt>
                <c:pt idx="101">
                  <c:v>42.498750000000001</c:v>
                </c:pt>
                <c:pt idx="102">
                  <c:v>40.999000000000002</c:v>
                </c:pt>
                <c:pt idx="103">
                  <c:v>44.999166666666667</c:v>
                </c:pt>
                <c:pt idx="104">
                  <c:v>85.293333333333337</c:v>
                </c:pt>
                <c:pt idx="105">
                  <c:v>79.55</c:v>
                </c:pt>
                <c:pt idx="106">
                  <c:v>59.99</c:v>
                </c:pt>
                <c:pt idx="107">
                  <c:v>42.494999999999997</c:v>
                </c:pt>
                <c:pt idx="108">
                  <c:v>31.996666666666666</c:v>
                </c:pt>
                <c:pt idx="109">
                  <c:v>33.497500000000002</c:v>
                </c:pt>
                <c:pt idx="110">
                  <c:v>52.4</c:v>
                </c:pt>
                <c:pt idx="111">
                  <c:v>31.665000000000003</c:v>
                </c:pt>
                <c:pt idx="112">
                  <c:v>31.873750000000001</c:v>
                </c:pt>
                <c:pt idx="113">
                  <c:v>34.999000000000002</c:v>
                </c:pt>
                <c:pt idx="114">
                  <c:v>60.494999999999997</c:v>
                </c:pt>
                <c:pt idx="115">
                  <c:v>69.99666666666667</c:v>
                </c:pt>
                <c:pt idx="116">
                  <c:v>43.747500000000002</c:v>
                </c:pt>
                <c:pt idx="117">
                  <c:v>38.333333333333336</c:v>
                </c:pt>
                <c:pt idx="118">
                  <c:v>41</c:v>
                </c:pt>
                <c:pt idx="119">
                  <c:v>44.076999999999998</c:v>
                </c:pt>
                <c:pt idx="120" formatCode="_(&quot;$&quot;* #,##0.00_);_(&quot;$&quot;* \(#,##0.00\);_(&quot;$&quot;* &quot;-&quot;??_);_(@_)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57D-4ECA-828A-73C40A8BA61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axId val="486608520"/>
        <c:axId val="485437744"/>
      </c:scatterChart>
      <c:valAx>
        <c:axId val="486608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Terabytes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5437744"/>
        <c:crosses val="autoZero"/>
        <c:crossBetween val="midCat"/>
      </c:valAx>
      <c:valAx>
        <c:axId val="485437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Price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66085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611" l="0.70000000000000062" r="0.70000000000000062" t="0.75000000000000611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24</xdr:col>
      <xdr:colOff>628650</xdr:colOff>
      <xdr:row>2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239375" y="58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508000</xdr:colOff>
      <xdr:row>0</xdr:row>
      <xdr:rowOff>98425</xdr:rowOff>
    </xdr:from>
    <xdr:to>
      <xdr:col>12</xdr:col>
      <xdr:colOff>495300</xdr:colOff>
      <xdr:row>14</xdr:row>
      <xdr:rowOff>165100</xdr:rowOff>
    </xdr:to>
    <xdr:graphicFrame macro="">
      <xdr:nvGraphicFramePr>
        <xdr:cNvPr id="2" name="NASAvgByTB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512762</xdr:colOff>
      <xdr:row>19</xdr:row>
      <xdr:rowOff>26987</xdr:rowOff>
    </xdr:from>
    <xdr:to>
      <xdr:col>12</xdr:col>
      <xdr:colOff>500062</xdr:colOff>
      <xdr:row>33</xdr:row>
      <xdr:rowOff>103187</xdr:rowOff>
    </xdr:to>
    <xdr:graphicFrame macro="">
      <xdr:nvGraphicFramePr>
        <xdr:cNvPr id="3" name="Chart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517525</xdr:colOff>
      <xdr:row>36</xdr:row>
      <xdr:rowOff>28575</xdr:rowOff>
    </xdr:from>
    <xdr:to>
      <xdr:col>12</xdr:col>
      <xdr:colOff>504825</xdr:colOff>
      <xdr:row>50</xdr:row>
      <xdr:rowOff>104775</xdr:rowOff>
    </xdr:to>
    <xdr:graphicFrame macro="">
      <xdr:nvGraphicFramePr>
        <xdr:cNvPr id="6" name="Chart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522287</xdr:colOff>
      <xdr:row>55</xdr:row>
      <xdr:rowOff>87312</xdr:rowOff>
    </xdr:from>
    <xdr:to>
      <xdr:col>12</xdr:col>
      <xdr:colOff>509587</xdr:colOff>
      <xdr:row>69</xdr:row>
      <xdr:rowOff>134937</xdr:rowOff>
    </xdr:to>
    <xdr:graphicFrame macro="">
      <xdr:nvGraphicFramePr>
        <xdr:cNvPr id="4" name="Chart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320676</xdr:colOff>
      <xdr:row>76</xdr:row>
      <xdr:rowOff>3174</xdr:rowOff>
    </xdr:from>
    <xdr:to>
      <xdr:col>12</xdr:col>
      <xdr:colOff>506413</xdr:colOff>
      <xdr:row>93</xdr:row>
      <xdr:rowOff>155575</xdr:rowOff>
    </xdr:to>
    <xdr:graphicFrame macro="">
      <xdr:nvGraphicFramePr>
        <xdr:cNvPr id="5" name="Chart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0</xdr:rowOff>
    </xdr:from>
    <xdr:to>
      <xdr:col>13</xdr:col>
      <xdr:colOff>542925</xdr:colOff>
      <xdr:row>32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Author" refreshedDate="43053.785436226855" createdVersion="6" refreshedVersion="5" minRefreshableVersion="3" recordCount="124">
  <cacheSource type="worksheet">
    <worksheetSource name="Table5" r:id="rId2"/>
  </cacheSource>
  <cacheFields count="28">
    <cacheField name="Date" numFmtId="14">
      <sharedItems containsSemiMixedTypes="0" containsNonDate="0" containsDate="1" containsString="0" minDate="2017-04-17T00:00:00" maxDate="2017-11-15T00:00:00"/>
    </cacheField>
    <cacheField name="Manu" numFmtId="0">
      <sharedItems count="4">
        <s v="HGST"/>
        <s v="Seagate"/>
        <s v="Toshiba"/>
        <s v="WD"/>
      </sharedItems>
    </cacheField>
    <cacheField name="Model" numFmtId="0">
      <sharedItems/>
    </cacheField>
    <cacheField name="Type" numFmtId="0">
      <sharedItems containsBlank="1" count="3">
        <s v="NAS"/>
        <m/>
        <s v="SMR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4" count="18">
        <n v="4"/>
        <n v="6"/>
        <n v="8"/>
        <n v="10"/>
        <n v="1"/>
        <n v="2"/>
        <n v="5"/>
        <n v="1.2"/>
        <n v="1.8"/>
        <n v="0.6"/>
        <n v="12"/>
        <n v="14"/>
        <n v="3"/>
        <n v="2.4"/>
        <n v="0.9"/>
        <n v="0.75"/>
        <n v="0.1" u="1"/>
        <n v="0.3" u="1"/>
      </sharedItems>
    </cacheField>
    <cacheField name="RPM" numFmtId="3">
      <sharedItems containsSemiMixedTypes="0" containsString="0" containsNumber="1" containsInteger="1" minValue="5400" maxValue="15030" count="9">
        <n v="7200"/>
        <n v="5400"/>
        <n v="10520"/>
        <n v="15030"/>
        <n v="10500"/>
        <n v="15000"/>
        <n v="5900"/>
        <n v="5760"/>
        <n v="10000" u="1"/>
      </sharedItems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6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containsInteger="1" minValue="99" maxValue="270"/>
    </cacheField>
    <cacheField name="S" numFmtId="0">
      <sharedItems containsSemiMixedTypes="0" containsString="0" containsNumber="1" containsInteger="1" minValue="2" maxValue="5"/>
    </cacheField>
    <cacheField name="CycleCnt" numFmtId="3">
      <sharedItems containsString="0" containsBlank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 count="7">
        <n v="1000000"/>
        <m/>
        <n v="2000000"/>
        <n v="2500000"/>
        <n v="800000"/>
        <n v="1200000"/>
        <n v="500000"/>
      </sharedItems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0"/>
    </cacheField>
    <cacheField name="Watts Active" numFmtId="2">
      <sharedItems containsString="0" containsBlank="1" containsNumber="1" minValue="1.4" maxValue="11"/>
    </cacheField>
    <cacheField name="Watts Idle" numFmtId="2">
      <sharedItems containsString="0" containsBlank="1" containsNumber="1" minValue="0.45" maxValue="8.1"/>
    </cacheField>
    <cacheField name="WattsStandby" numFmtId="168">
      <sharedItems containsString="0" containsBlank="1" containsNumber="1" minValue="0.1" maxValue="1.6"/>
    </cacheField>
    <cacheField name="Energy$year" numFmtId="0">
      <sharedItems containsString="0" containsBlank="1" containsNumber="1" minValue="0" maxValue="9.1821336000000002"/>
    </cacheField>
    <cacheField name="Energy$yearPerTB" numFmtId="8">
      <sharedItems containsString="0" containsBlank="1" containsNumber="1" minValue="0" maxValue="11.212868"/>
    </cacheField>
    <cacheField name="Cost" numFmtId="164">
      <sharedItems containsString="0" containsBlank="1" containsNumber="1" minValue="44.99" maxValue="619.98"/>
    </cacheField>
    <cacheField name="$ TB" numFmtId="164">
      <sharedItems containsSemiMixedTypes="0" containsString="0" containsNumber="1" minValue="0" maxValue="316.58333333333331"/>
    </cacheField>
    <cacheField name="$+Warr" numFmtId="164">
      <sharedItems containsSemiMixedTypes="0" containsString="0" containsNumber="1" minValue="0" maxValue="619.98"/>
    </cacheField>
    <cacheField name="$PerTB" numFmtId="164">
      <sharedItems containsSemiMixedTypes="0" containsString="0" containsNumber="1" minValue="0" maxValue="316.58333333333331"/>
    </cacheField>
    <cacheField name="$ TB/year" numFmtId="164">
      <sharedItems containsSemiMixedTypes="0" containsString="0" containsNumber="1" minValue="0" maxValue="63.316666666666663"/>
    </cacheField>
    <cacheField name="Not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Author" refreshedDate="43053.785437152779" createdVersion="6" refreshedVersion="5" minRefreshableVersion="3" recordCount="118">
  <cacheSource type="worksheet">
    <worksheetSource ref="A2:AA117" sheet="Drive Table" r:id="rId2"/>
  </cacheSource>
  <cacheFields count="27">
    <cacheField name="Date" numFmtId="14">
      <sharedItems containsSemiMixedTypes="0" containsNonDate="0" containsDate="1" containsString="0" minDate="2017-05-06T00:00:00" maxDate="2017-11-15T00:00:00"/>
    </cacheField>
    <cacheField name="Manu" numFmtId="0">
      <sharedItems/>
    </cacheField>
    <cacheField name="Model" numFmtId="0">
      <sharedItems/>
    </cacheField>
    <cacheField name="Type" numFmtId="0">
      <sharedItems containsBlank="1" count="3">
        <s v="NAS"/>
        <m/>
        <s v="SMR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4" count="18">
        <n v="4"/>
        <n v="6"/>
        <n v="8"/>
        <n v="10"/>
        <n v="1"/>
        <n v="2"/>
        <n v="5"/>
        <n v="1.2"/>
        <n v="1.8"/>
        <n v="0.6"/>
        <n v="12"/>
        <n v="14"/>
        <n v="3"/>
        <n v="2.4"/>
        <n v="0.9"/>
        <n v="0.75"/>
        <n v="0.1" u="1"/>
        <n v="0.3" u="1"/>
      </sharedItems>
    </cacheField>
    <cacheField name="RPM" numFmtId="3">
      <sharedItems containsSemiMixedTypes="0" containsString="0" containsNumber="1" containsInteger="1" minValue="5400" maxValue="15030"/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6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containsInteger="1" minValue="99" maxValue="270"/>
    </cacheField>
    <cacheField name="S" numFmtId="0">
      <sharedItems containsSemiMixedTypes="0" containsString="0" containsNumber="1" containsInteger="1" minValue="2" maxValue="5"/>
    </cacheField>
    <cacheField name="CycleCnt" numFmtId="3">
      <sharedItems containsString="0" containsBlank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/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0"/>
    </cacheField>
    <cacheField name="Watts Active" numFmtId="2">
      <sharedItems containsString="0" containsBlank="1" containsNumber="1" minValue="1.4" maxValue="11"/>
    </cacheField>
    <cacheField name="Watts Idle" numFmtId="2">
      <sharedItems containsString="0" containsBlank="1" containsNumber="1" minValue="0.45" maxValue="8.1"/>
    </cacheField>
    <cacheField name="WattsStandby" numFmtId="168">
      <sharedItems containsString="0" containsBlank="1" containsNumber="1" minValue="0.1" maxValue="1.6"/>
    </cacheField>
    <cacheField name="Energy$year" numFmtId="0">
      <sharedItems containsString="0" containsBlank="1" containsNumber="1" minValue="0" maxValue="9.1821336000000002"/>
    </cacheField>
    <cacheField name="Energy$yearPerTB" numFmtId="8">
      <sharedItems containsString="0" containsBlank="1" containsNumber="1" minValue="0" maxValue="11.212868"/>
    </cacheField>
    <cacheField name="Cost" numFmtId="164">
      <sharedItems containsString="0" containsBlank="1" containsNumber="1" minValue="44.99" maxValue="619.98"/>
    </cacheField>
    <cacheField name="$ TB" numFmtId="164">
      <sharedItems containsSemiMixedTypes="0" containsString="0" containsNumber="1" minValue="0" maxValue="316.58333333333331"/>
    </cacheField>
    <cacheField name="$+Warr" numFmtId="164">
      <sharedItems containsSemiMixedTypes="0" containsString="0" containsNumber="1" minValue="0" maxValue="619.98"/>
    </cacheField>
    <cacheField name="$PerTB" numFmtId="164">
      <sharedItems containsSemiMixedTypes="0" containsString="0" containsNumber="1" minValue="0" maxValue="316.58333333333331"/>
    </cacheField>
    <cacheField name="$ TB/year" numFmtId="164">
      <sharedItems containsSemiMixedTypes="0" containsString="0" containsNumber="1" minValue="0" maxValue="63.31666666666666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4">
  <r>
    <d v="2017-10-28T00:00:00"/>
    <x v="0"/>
    <s v="Deskstar NAS"/>
    <x v="0"/>
    <x v="0"/>
    <x v="0"/>
    <x v="0"/>
    <m/>
    <n v="11.99"/>
    <n v="0.33333333333333326"/>
    <n v="202"/>
    <n v="3"/>
    <n v="600000"/>
    <m/>
    <x v="0"/>
    <n v="100000000000000"/>
    <n v="30"/>
    <m/>
    <n v="7.3"/>
    <m/>
    <m/>
    <m/>
    <n v="109.995"/>
    <n v="27.498750000000001"/>
    <n v="134.19390000000001"/>
    <n v="33.548475000000003"/>
    <n v="6.7096950000000009"/>
    <s v="HGST drives are now"/>
  </r>
  <r>
    <d v="2017-11-07T00:00:00"/>
    <x v="0"/>
    <s v="Deskstar NAS"/>
    <x v="0"/>
    <x v="0"/>
    <x v="1"/>
    <x v="0"/>
    <m/>
    <n v="11.99"/>
    <n v="0.33333333333333326"/>
    <n v="227"/>
    <n v="3"/>
    <n v="600000"/>
    <m/>
    <x v="0"/>
    <n v="100000000000000"/>
    <n v="30"/>
    <m/>
    <n v="7.3"/>
    <m/>
    <m/>
    <m/>
    <n v="178.99"/>
    <n v="29.831666666666667"/>
    <n v="218.36780000000002"/>
    <n v="36.394633333333338"/>
    <n v="7.2789266666666679"/>
    <s v="owned by WD"/>
  </r>
  <r>
    <d v="2017-11-02T00:00:00"/>
    <x v="0"/>
    <s v="Deskstar NAS"/>
    <x v="0"/>
    <x v="0"/>
    <x v="2"/>
    <x v="0"/>
    <m/>
    <n v="11.99"/>
    <n v="0.33333333333333326"/>
    <n v="205"/>
    <n v="3"/>
    <n v="600000"/>
    <m/>
    <x v="0"/>
    <n v="100000000000000"/>
    <n v="30"/>
    <m/>
    <n v="5.0999999999999996"/>
    <m/>
    <m/>
    <m/>
    <n v="229.99"/>
    <n v="28.748750000000001"/>
    <n v="280.58780000000002"/>
    <n v="35.073475000000002"/>
    <n v="7.0146950000000006"/>
    <m/>
  </r>
  <r>
    <d v="2017-11-04T00:00:00"/>
    <x v="0"/>
    <s v="Deskstar NAS"/>
    <x v="0"/>
    <x v="0"/>
    <x v="3"/>
    <x v="0"/>
    <m/>
    <n v="11.99"/>
    <n v="0.33333333333333326"/>
    <n v="240"/>
    <n v="3"/>
    <n v="600000"/>
    <m/>
    <x v="0"/>
    <n v="100000000000000"/>
    <n v="30"/>
    <m/>
    <n v="5.0999999999999996"/>
    <m/>
    <m/>
    <m/>
    <n v="299.99"/>
    <n v="29.999000000000002"/>
    <n v="365.98779999999999"/>
    <n v="36.598779999999998"/>
    <n v="7.3197559999999999"/>
    <m/>
  </r>
  <r>
    <d v="2017-09-27T00:00:00"/>
    <x v="0"/>
    <s v="Travelstar 5K100"/>
    <x v="1"/>
    <x v="1"/>
    <x v="4"/>
    <x v="1"/>
    <n v="5.5"/>
    <n v="12"/>
    <n v="0"/>
    <n v="99"/>
    <n v="3"/>
    <n v="600000"/>
    <m/>
    <x v="1"/>
    <m/>
    <n v="4.5"/>
    <n v="1.6"/>
    <n v="0.8"/>
    <n v="0.2"/>
    <m/>
    <m/>
    <n v="49.99"/>
    <n v="49.99"/>
    <n v="60.9878"/>
    <n v="60.9878"/>
    <n v="12.197559999999999"/>
    <m/>
  </r>
  <r>
    <d v="2017-11-08T00:00:00"/>
    <x v="0"/>
    <s v="Travelstar 7K100"/>
    <x v="1"/>
    <x v="1"/>
    <x v="4"/>
    <x v="0"/>
    <n v="4.2"/>
    <n v="12"/>
    <n v="0.33333333333333326"/>
    <n v="128"/>
    <n v="3"/>
    <n v="600000"/>
    <m/>
    <x v="1"/>
    <m/>
    <n v="5.5"/>
    <n v="2.7"/>
    <n v="2"/>
    <n v="0.2"/>
    <m/>
    <m/>
    <n v="49.99"/>
    <n v="49.99"/>
    <n v="60.9878"/>
    <n v="60.9878"/>
    <n v="12.197559999999999"/>
    <m/>
  </r>
  <r>
    <d v="2017-09-06T00:00:00"/>
    <x v="0"/>
    <s v="Ultrastar 7K6"/>
    <x v="0"/>
    <x v="0"/>
    <x v="5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4.1089500000000001"/>
    <n v="149.34"/>
    <n v="74.67"/>
    <n v="149.34"/>
    <n v="74.67"/>
    <n v="14.934000000000001"/>
    <m/>
  </r>
  <r>
    <d v="2017-09-06T00:00:00"/>
    <x v="0"/>
    <s v="Ultrastar 7K6"/>
    <x v="0"/>
    <x v="0"/>
    <x v="0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2.0544750000000001"/>
    <n v="255.99"/>
    <n v="63.997500000000002"/>
    <n v="255.99"/>
    <n v="63.997500000000002"/>
    <n v="12.7995"/>
    <m/>
  </r>
  <r>
    <d v="2017-09-06T00:00:00"/>
    <x v="0"/>
    <s v="Ultrastar 7K6"/>
    <x v="0"/>
    <x v="0"/>
    <x v="6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1.64358"/>
    <n v="381.42"/>
    <n v="76.284000000000006"/>
    <n v="381.42"/>
    <n v="76.284000000000006"/>
    <n v="15.256800000000002"/>
    <m/>
  </r>
  <r>
    <d v="2017-09-06T00:00:00"/>
    <x v="0"/>
    <s v="Ultrastar 7K6"/>
    <x v="0"/>
    <x v="0"/>
    <x v="1"/>
    <x v="0"/>
    <n v="4.16"/>
    <n v="8"/>
    <n v="0.33333333333333326"/>
    <n v="216"/>
    <n v="5"/>
    <n v="600000"/>
    <m/>
    <x v="2"/>
    <n v="1000000000000000"/>
    <m/>
    <n v="9.1"/>
    <n v="7.1"/>
    <m/>
    <n v="8.2179000000000002"/>
    <n v="1.36965"/>
    <n v="301.52999999999997"/>
    <n v="50.254999999999995"/>
    <n v="301.52999999999997"/>
    <n v="50.254999999999995"/>
    <n v="10.050999999999998"/>
    <m/>
  </r>
  <r>
    <d v="2017-10-25T00:00:00"/>
    <x v="0"/>
    <s v="Ultrastar Archive Ha10"/>
    <x v="2"/>
    <x v="0"/>
    <x v="2"/>
    <x v="0"/>
    <n v="4.16"/>
    <n v="8.5"/>
    <n v="0.33333333333333326"/>
    <n v="157"/>
    <n v="5"/>
    <n v="600000"/>
    <m/>
    <x v="2"/>
    <n v="1000000000000000"/>
    <m/>
    <n v="7.6"/>
    <n v="5.0999999999999996"/>
    <m/>
    <n v="6.1360319999999993"/>
    <n v="0.76700399999999991"/>
    <n v="373"/>
    <n v="46.625"/>
    <n v="373"/>
    <n v="46.625"/>
    <n v="9.3249999999999993"/>
    <s v="Helium filled, Shingled (SMR)"/>
  </r>
  <r>
    <d v="2017-11-08T00:00:00"/>
    <x v="0"/>
    <s v="Ultrastar C10K1200"/>
    <x v="0"/>
    <x v="1"/>
    <x v="7"/>
    <x v="2"/>
    <n v="2.85"/>
    <n v="4.4000000000000004"/>
    <n v="0.94814814814814818"/>
    <n v="224"/>
    <n v="5"/>
    <m/>
    <m/>
    <x v="2"/>
    <n v="1E+16"/>
    <m/>
    <n v="6.5"/>
    <n v="4.7"/>
    <m/>
    <n v="5.5443432000000001"/>
    <n v="4.6202860000000001"/>
    <n v="170"/>
    <n v="141.66666666666669"/>
    <n v="170"/>
    <n v="141.66666666666669"/>
    <n v="28.333333333333336"/>
    <m/>
  </r>
  <r>
    <d v="2017-11-08T00:00:00"/>
    <x v="0"/>
    <s v="Ultrastar C10K1800"/>
    <x v="0"/>
    <x v="1"/>
    <x v="8"/>
    <x v="2"/>
    <n v="2.85"/>
    <n v="4.4000000000000004"/>
    <n v="0.94814814814814818"/>
    <n v="224"/>
    <n v="5"/>
    <m/>
    <m/>
    <x v="2"/>
    <n v="1E+16"/>
    <m/>
    <n v="6.6"/>
    <n v="4.7"/>
    <m/>
    <n v="5.5662576000000001"/>
    <n v="3.0923653333333334"/>
    <n v="229.99"/>
    <n v="127.77222222222223"/>
    <n v="229.99"/>
    <n v="127.77222222222223"/>
    <n v="25.554444444444446"/>
    <m/>
  </r>
  <r>
    <d v="2017-11-11T00:00:00"/>
    <x v="0"/>
    <s v="Ultrastar C15K600"/>
    <x v="0"/>
    <x v="1"/>
    <x v="9"/>
    <x v="3"/>
    <n v="1.99"/>
    <n v="3.1"/>
    <n v="1.7833333333333332"/>
    <n v="250"/>
    <n v="5"/>
    <m/>
    <m/>
    <x v="2"/>
    <n v="1E+17"/>
    <m/>
    <n v="7.5"/>
    <n v="5.8"/>
    <m/>
    <n v="6.7277208000000002"/>
    <n v="11.212868"/>
    <n v="189.95"/>
    <n v="316.58333333333331"/>
    <n v="189.95"/>
    <n v="316.58333333333331"/>
    <n v="63.316666666666663"/>
    <s v="32GB NAND, media caching"/>
  </r>
  <r>
    <d v="2017-10-11T00:00:00"/>
    <x v="0"/>
    <s v="Ultrastar He6"/>
    <x v="0"/>
    <x v="0"/>
    <x v="1"/>
    <x v="0"/>
    <n v="4.16"/>
    <n v="9"/>
    <n v="0.33333333333333326"/>
    <n v="195"/>
    <n v="5"/>
    <n v="600000"/>
    <n v="550"/>
    <x v="3"/>
    <n v="1000000000000000"/>
    <m/>
    <n v="7.4"/>
    <n v="5.0999999999999996"/>
    <m/>
    <n v="6.0922031999999993"/>
    <n v="1.0153671999999998"/>
    <n v="169.99"/>
    <n v="28.331666666666667"/>
    <n v="169.99"/>
    <n v="28.331666666666667"/>
    <n v="5.6663333333333332"/>
    <s v="Helium filled"/>
  </r>
  <r>
    <d v="2017-11-11T00:00:00"/>
    <x v="0"/>
    <s v="Ultrastar He8"/>
    <x v="0"/>
    <x v="0"/>
    <x v="2"/>
    <x v="0"/>
    <n v="4.16"/>
    <n v="8.5"/>
    <n v="0.33333333333333326"/>
    <n v="237"/>
    <n v="5"/>
    <n v="600000"/>
    <n v="550"/>
    <x v="3"/>
    <n v="1000000000000000"/>
    <m/>
    <n v="7.4"/>
    <n v="5.0999999999999996"/>
    <m/>
    <n v="6.0922031999999993"/>
    <n v="0.76152539999999991"/>
    <n v="285"/>
    <n v="35.625"/>
    <n v="285"/>
    <n v="35.625"/>
    <n v="7.125"/>
    <s v="Helium filled, media caching"/>
  </r>
  <r>
    <d v="2017-09-27T00:00:00"/>
    <x v="0"/>
    <s v="Ultrastar He10"/>
    <x v="0"/>
    <x v="0"/>
    <x v="3"/>
    <x v="0"/>
    <n v="4.16"/>
    <n v="8"/>
    <n v="0.33333333333333326"/>
    <n v="237"/>
    <n v="5"/>
    <n v="600000"/>
    <n v="550"/>
    <x v="3"/>
    <n v="1000000000000000"/>
    <m/>
    <n v="6.8"/>
    <n v="5"/>
    <m/>
    <n v="5.8730592000000001"/>
    <n v="0.58730592000000004"/>
    <n v="349.99"/>
    <n v="34.999000000000002"/>
    <n v="349.99"/>
    <n v="34.999000000000002"/>
    <n v="6.9998000000000005"/>
    <s v="Helium filled"/>
  </r>
  <r>
    <d v="2017-09-27T00:00:00"/>
    <x v="0"/>
    <s v="Ultrastar He12"/>
    <x v="0"/>
    <x v="0"/>
    <x v="10"/>
    <x v="0"/>
    <n v="4.16"/>
    <n v="8.6"/>
    <n v="0.33333333333333326"/>
    <n v="243"/>
    <n v="5"/>
    <n v="600000"/>
    <n v="550"/>
    <x v="3"/>
    <n v="1000000000000000"/>
    <m/>
    <n v="7.2"/>
    <n v="5.3"/>
    <m/>
    <n v="6.2236896000000002"/>
    <n v="0.51864080000000001"/>
    <n v="619.98"/>
    <n v="51.664999999999999"/>
    <n v="619.98"/>
    <n v="51.664999999999999"/>
    <n v="10.333"/>
    <s v="Helium filled"/>
  </r>
  <r>
    <d v="2017-10-13T00:00:00"/>
    <x v="0"/>
    <s v="Ultrastar Hs14"/>
    <x v="2"/>
    <x v="0"/>
    <x v="11"/>
    <x v="0"/>
    <n v="4.16"/>
    <n v="12"/>
    <n v="0.33333333333333326"/>
    <n v="223"/>
    <n v="5"/>
    <n v="600000"/>
    <n v="550"/>
    <x v="3"/>
    <n v="1000000000000000"/>
    <m/>
    <n v="6.4"/>
    <n v="5.2"/>
    <m/>
    <n v="5.960716800000001"/>
    <n v="0.4257654857142858"/>
    <m/>
    <n v="0"/>
    <n v="0"/>
    <n v="0"/>
    <n v="0"/>
    <s v="Helium filled, Shingled (SMR)"/>
  </r>
  <r>
    <d v="2017-11-11T00:00:00"/>
    <x v="1"/>
    <s v="BarraCuda"/>
    <x v="1"/>
    <x v="0"/>
    <x v="4"/>
    <x v="0"/>
    <n v="4.16"/>
    <n v="9.5"/>
    <n v="0.33333333333333326"/>
    <n v="156"/>
    <n v="2"/>
    <n v="300000"/>
    <n v="55"/>
    <x v="1"/>
    <n v="100000000000000"/>
    <n v="24"/>
    <n v="5.3"/>
    <n v="4.5999999999999996"/>
    <n v="0.94"/>
    <n v="5.1937128000000001"/>
    <n v="5.1937128000000001"/>
    <n v="46.99"/>
    <n v="46.99"/>
    <n v="62.496700000000004"/>
    <n v="62.496700000000004"/>
    <n v="12.49934"/>
    <m/>
  </r>
  <r>
    <d v="2017-11-11T00:00:00"/>
    <x v="1"/>
    <s v="BarraCuda"/>
    <x v="1"/>
    <x v="0"/>
    <x v="5"/>
    <x v="0"/>
    <n v="6"/>
    <n v="9.5"/>
    <n v="0.33333333333333326"/>
    <n v="156"/>
    <n v="2"/>
    <n v="300000"/>
    <n v="55"/>
    <x v="1"/>
    <n v="100000000000000"/>
    <n v="30"/>
    <n v="8"/>
    <n v="5.4"/>
    <n v="0.75"/>
    <n v="6.486662400000001"/>
    <n v="3.2433312000000005"/>
    <n v="59.99"/>
    <n v="29.995000000000001"/>
    <n v="79.786699999999996"/>
    <n v="39.893349999999998"/>
    <n v="7.9786699999999993"/>
    <m/>
  </r>
  <r>
    <d v="2017-11-11T00:00:00"/>
    <x v="1"/>
    <s v="BarraCuda"/>
    <x v="1"/>
    <x v="0"/>
    <x v="12"/>
    <x v="0"/>
    <n v="6"/>
    <n v="9.5"/>
    <n v="0.33333333333333326"/>
    <n v="156"/>
    <n v="2"/>
    <n v="300000"/>
    <n v="55"/>
    <x v="1"/>
    <n v="100000000000000"/>
    <n v="30"/>
    <n v="8"/>
    <n v="5.4"/>
    <n v="0.75"/>
    <n v="6.486662400000001"/>
    <n v="2.1622208000000005"/>
    <n v="69.989999999999995"/>
    <n v="23.33"/>
    <n v="93.086699999999993"/>
    <n v="31.028899999999997"/>
    <n v="6.205779999999999"/>
    <m/>
  </r>
  <r>
    <d v="2017-11-11T00:00:00"/>
    <x v="1"/>
    <s v="BarraCuda"/>
    <x v="1"/>
    <x v="0"/>
    <x v="0"/>
    <x v="0"/>
    <n v="6"/>
    <n v="9.5"/>
    <n v="0.33333333333333326"/>
    <n v="190"/>
    <n v="2"/>
    <n v="300000"/>
    <n v="55"/>
    <x v="1"/>
    <n v="100000000000000"/>
    <n v="24"/>
    <n v="5"/>
    <n v="2.5"/>
    <n v="0.25"/>
    <n v="3.2871600000000001"/>
    <n v="0.82179000000000002"/>
    <n v="99.99"/>
    <n v="24.997499999999999"/>
    <n v="132.98669999999998"/>
    <n v="33.246674999999996"/>
    <n v="6.6493349999999989"/>
    <m/>
  </r>
  <r>
    <d v="2017-10-11T00:00:00"/>
    <x v="1"/>
    <s v="BarraCuda"/>
    <x v="1"/>
    <x v="1"/>
    <x v="4"/>
    <x v="1"/>
    <m/>
    <m/>
    <n v="0"/>
    <n v="140"/>
    <n v="2"/>
    <n v="600000"/>
    <m/>
    <x v="1"/>
    <n v="100000000000000"/>
    <n v="5"/>
    <n v="1.7"/>
    <n v="0.45"/>
    <m/>
    <n v="0.76700400000000002"/>
    <n v="0.76700400000000002"/>
    <n v="49.99"/>
    <n v="49.99"/>
    <n v="66.486699999999999"/>
    <n v="66.486699999999999"/>
    <n v="13.29734"/>
    <m/>
  </r>
  <r>
    <d v="2017-10-11T00:00:00"/>
    <x v="1"/>
    <s v="BarraCuda"/>
    <x v="1"/>
    <x v="1"/>
    <x v="5"/>
    <x v="1"/>
    <m/>
    <m/>
    <n v="0"/>
    <n v="140"/>
    <n v="2"/>
    <n v="600000"/>
    <m/>
    <x v="1"/>
    <n v="100000000000000"/>
    <n v="5"/>
    <n v="1.8"/>
    <n v="0.5"/>
    <m/>
    <n v="0.83274720000000002"/>
    <n v="0.41637360000000001"/>
    <n v="66.989999999999995"/>
    <n v="33.494999999999997"/>
    <n v="89.096699999999998"/>
    <n v="44.548349999999999"/>
    <n v="8.9096700000000002"/>
    <m/>
  </r>
  <r>
    <d v="2017-10-11T00:00:00"/>
    <x v="1"/>
    <s v="BarraCuda"/>
    <x v="1"/>
    <x v="1"/>
    <x v="12"/>
    <x v="1"/>
    <m/>
    <m/>
    <n v="0"/>
    <n v="140"/>
    <n v="2"/>
    <n v="600000"/>
    <m/>
    <x v="1"/>
    <n v="100000000000000"/>
    <n v="6"/>
    <n v="2.1"/>
    <n v="1.1000000000000001"/>
    <m/>
    <n v="1.4244360000000003"/>
    <n v="0.47481200000000007"/>
    <n v="89.99"/>
    <n v="29.996666666666666"/>
    <n v="119.6867"/>
    <n v="39.895566666666667"/>
    <n v="7.9791133333333333"/>
    <m/>
  </r>
  <r>
    <d v="2017-10-11T00:00:00"/>
    <x v="1"/>
    <s v="BarraCuda"/>
    <x v="1"/>
    <x v="1"/>
    <x v="0"/>
    <x v="1"/>
    <m/>
    <m/>
    <n v="0"/>
    <n v="140"/>
    <n v="2"/>
    <n v="600000"/>
    <m/>
    <x v="1"/>
    <n v="100000000000000"/>
    <n v="6"/>
    <n v="2.1"/>
    <n v="1.1000000000000001"/>
    <m/>
    <n v="1.4244360000000003"/>
    <n v="0.35610900000000006"/>
    <n v="114.99"/>
    <n v="28.747499999999999"/>
    <n v="152.9367"/>
    <n v="38.234175"/>
    <n v="7.6468350000000003"/>
    <m/>
  </r>
  <r>
    <d v="2017-07-31T00:00:00"/>
    <x v="1"/>
    <s v="BarraCuda"/>
    <x v="1"/>
    <x v="1"/>
    <x v="6"/>
    <x v="1"/>
    <m/>
    <m/>
    <n v="0"/>
    <n v="140"/>
    <n v="2"/>
    <n v="600000"/>
    <m/>
    <x v="1"/>
    <n v="100000000000000"/>
    <n v="6"/>
    <n v="2.1"/>
    <n v="1.1000000000000001"/>
    <m/>
    <n v="1.4244360000000003"/>
    <n v="0.28488720000000006"/>
    <n v="209.99"/>
    <n v="41.998000000000005"/>
    <n v="279.2867"/>
    <n v="55.857340000000001"/>
    <n v="11.171468000000001"/>
    <m/>
  </r>
  <r>
    <d v="2017-10-11T00:00:00"/>
    <x v="1"/>
    <s v="BarraCuda Pro"/>
    <x v="1"/>
    <x v="0"/>
    <x v="5"/>
    <x v="0"/>
    <n v="4.16"/>
    <m/>
    <n v="0.33333333333333326"/>
    <n v="195"/>
    <n v="5"/>
    <n v="600000"/>
    <n v="180"/>
    <x v="1"/>
    <n v="1000000000000000"/>
    <n v="24"/>
    <n v="7.5"/>
    <n v="4.5"/>
    <n v="0.8"/>
    <n v="5.5881720000000001"/>
    <n v="2.7940860000000001"/>
    <n v="127.99"/>
    <n v="63.994999999999997"/>
    <n v="127.99"/>
    <n v="63.994999999999997"/>
    <n v="12.798999999999999"/>
    <m/>
  </r>
  <r>
    <d v="2017-10-11T00:00:00"/>
    <x v="1"/>
    <s v="BarraCuda Pro"/>
    <x v="1"/>
    <x v="0"/>
    <x v="0"/>
    <x v="0"/>
    <n v="4.16"/>
    <m/>
    <n v="0.33333333333333326"/>
    <n v="214"/>
    <n v="5"/>
    <n v="600000"/>
    <n v="180"/>
    <x v="1"/>
    <n v="1000000000000000"/>
    <n v="24"/>
    <n v="6.7"/>
    <n v="6"/>
    <n v="0.6"/>
    <n v="6.7277208000000002"/>
    <n v="1.6819302"/>
    <n v="174.99"/>
    <n v="43.747500000000002"/>
    <n v="174.99"/>
    <n v="43.747500000000002"/>
    <n v="8.7495000000000012"/>
    <m/>
  </r>
  <r>
    <d v="2017-05-06T00:00:00"/>
    <x v="1"/>
    <s v="BarraCuda Pro"/>
    <x v="1"/>
    <x v="0"/>
    <x v="6"/>
    <x v="0"/>
    <n v="4.16"/>
    <m/>
    <n v="0.33333333333333326"/>
    <n v="220"/>
    <n v="5"/>
    <n v="300000"/>
    <n v="300"/>
    <x v="1"/>
    <n v="1000000000000000"/>
    <n v="23.28"/>
    <n v="8.3699999999999992"/>
    <n v="4.42"/>
    <n v="0.8"/>
    <n v="5.7087012000000001"/>
    <n v="1.1417402400000001"/>
    <n v="214.99"/>
    <n v="42.998000000000005"/>
    <n v="214.99"/>
    <n v="42.998000000000005"/>
    <n v="8.5996000000000006"/>
    <m/>
  </r>
  <r>
    <d v="2017-10-11T00:00:00"/>
    <x v="1"/>
    <s v="BarraCuda Pro"/>
    <x v="1"/>
    <x v="0"/>
    <x v="1"/>
    <x v="0"/>
    <n v="4.16"/>
    <m/>
    <n v="0.33333333333333326"/>
    <n v="180"/>
    <n v="5"/>
    <n v="300000"/>
    <n v="300"/>
    <x v="1"/>
    <n v="1000000000000000"/>
    <n v="24"/>
    <n v="9"/>
    <n v="7.2"/>
    <n v="0.6"/>
    <n v="8.2836432000000002"/>
    <n v="1.3806072"/>
    <n v="249.99"/>
    <n v="41.664999999999999"/>
    <n v="249.99"/>
    <n v="41.664999999999999"/>
    <n v="8.3330000000000002"/>
    <m/>
  </r>
  <r>
    <d v="2017-10-11T00:00:00"/>
    <x v="1"/>
    <s v="BarraCuda Pro"/>
    <x v="1"/>
    <x v="0"/>
    <x v="2"/>
    <x v="0"/>
    <n v="4.16"/>
    <m/>
    <n v="0.33333333333333326"/>
    <n v="220"/>
    <n v="5"/>
    <n v="300000"/>
    <n v="300"/>
    <x v="1"/>
    <n v="1000000000000000"/>
    <n v="24"/>
    <n v="6.8"/>
    <n v="4.5"/>
    <n v="0.8"/>
    <n v="5.4347712000000001"/>
    <n v="0.67934640000000002"/>
    <n v="324.99"/>
    <n v="40.623750000000001"/>
    <n v="324.99"/>
    <n v="40.623750000000001"/>
    <n v="8.1247500000000006"/>
    <m/>
  </r>
  <r>
    <d v="2017-10-11T00:00:00"/>
    <x v="1"/>
    <s v="BarraCuda Pro"/>
    <x v="1"/>
    <x v="0"/>
    <x v="3"/>
    <x v="0"/>
    <n v="4.16"/>
    <m/>
    <n v="0.33333333333333326"/>
    <n v="220"/>
    <n v="5"/>
    <n v="300000"/>
    <n v="300"/>
    <x v="1"/>
    <n v="1000000000000000"/>
    <n v="21.6"/>
    <n v="6.8"/>
    <n v="4.5"/>
    <n v="0.8"/>
    <n v="5.4347712000000001"/>
    <n v="0.54347712000000004"/>
    <n v="424.99"/>
    <n v="42.499000000000002"/>
    <n v="424.99"/>
    <n v="42.499000000000002"/>
    <n v="8.4998000000000005"/>
    <m/>
  </r>
  <r>
    <d v="2017-11-05T00:00:00"/>
    <x v="1"/>
    <s v="BarraCuda Pro"/>
    <x v="1"/>
    <x v="0"/>
    <x v="10"/>
    <x v="0"/>
    <m/>
    <m/>
    <n v="0.33333333333333326"/>
    <n v="250"/>
    <n v="5"/>
    <n v="300000"/>
    <n v="300"/>
    <x v="1"/>
    <m/>
    <m/>
    <m/>
    <m/>
    <m/>
    <m/>
    <m/>
    <n v="519.99"/>
    <n v="43.332500000000003"/>
    <n v="519.99"/>
    <n v="43.332500000000003"/>
    <n v="8.666500000000001"/>
    <m/>
  </r>
  <r>
    <d v="2017-10-19T00:00:00"/>
    <x v="1"/>
    <s v="Exos 10E2400"/>
    <x v="0"/>
    <x v="1"/>
    <x v="8"/>
    <x v="4"/>
    <n v="2.9"/>
    <m/>
    <n v="0.94444444444444442"/>
    <n v="270"/>
    <n v="5"/>
    <m/>
    <n v="550"/>
    <x v="2"/>
    <n v="1E+16"/>
    <m/>
    <n v="6.95"/>
    <n v="4.26"/>
    <m/>
    <n v="5.2572645600000003"/>
    <n v="2.9207025333333334"/>
    <m/>
    <n v="0"/>
    <n v="0"/>
    <n v="0"/>
    <n v="0"/>
    <s v="16GiB NAND"/>
  </r>
  <r>
    <d v="2017-10-19T00:00:00"/>
    <x v="1"/>
    <s v="Exos 10E2400"/>
    <x v="0"/>
    <x v="1"/>
    <x v="13"/>
    <x v="4"/>
    <n v="2.9"/>
    <m/>
    <n v="0.94444444444444442"/>
    <n v="270"/>
    <n v="5"/>
    <m/>
    <n v="550"/>
    <x v="2"/>
    <n v="1E+16"/>
    <m/>
    <n v="8.57"/>
    <n v="4.9000000000000004"/>
    <m/>
    <n v="6.1732864799999998"/>
    <n v="2.5722027000000001"/>
    <n v="514.99"/>
    <n v="214.57916666666668"/>
    <n v="514.99"/>
    <n v="214.57916666666668"/>
    <n v="42.915833333333339"/>
    <s v="16GiB NAND"/>
  </r>
  <r>
    <d v="2017-10-19T00:00:00"/>
    <x v="1"/>
    <s v="Exos 15E900"/>
    <x v="0"/>
    <x v="0"/>
    <x v="14"/>
    <x v="5"/>
    <n v="2"/>
    <m/>
    <n v="1.7777777777777777"/>
    <n v="215"/>
    <n v="5"/>
    <m/>
    <n v="550"/>
    <x v="2"/>
    <n v="1E+16"/>
    <m/>
    <n v="7.6"/>
    <n v="5.7"/>
    <m/>
    <n v="6.6619776000000002"/>
    <n v="7.4021973333333335"/>
    <m/>
    <n v="0"/>
    <n v="0"/>
    <n v="0"/>
    <n v="0"/>
    <s v="8GiB NAND"/>
  </r>
  <r>
    <d v="2017-10-19T00:00:00"/>
    <x v="1"/>
    <s v="Exos 5E8"/>
    <x v="2"/>
    <x v="0"/>
    <x v="2"/>
    <x v="6"/>
    <m/>
    <m/>
    <n v="9.259259259259256E-2"/>
    <n v="190"/>
    <n v="3"/>
    <n v="300000"/>
    <n v="180"/>
    <x v="4"/>
    <n v="100000000000000"/>
    <n v="24"/>
    <n v="5.3"/>
    <n v="3.7"/>
    <n v="0.99"/>
    <n v="4.4047944000000001"/>
    <n v="0.55059930000000001"/>
    <n v="229.99"/>
    <n v="28.748750000000001"/>
    <n v="280.58780000000002"/>
    <n v="35.073475000000002"/>
    <n v="7.0146950000000006"/>
    <s v="Shingled Magnetic Recording (SMR)"/>
  </r>
  <r>
    <d v="2017-10-19T00:00:00"/>
    <x v="1"/>
    <s v="Exos 7E2"/>
    <x v="0"/>
    <x v="0"/>
    <x v="4"/>
    <x v="0"/>
    <n v="4.16"/>
    <m/>
    <n v="0.33333333333333326"/>
    <n v="194"/>
    <n v="5"/>
    <m/>
    <n v="550"/>
    <x v="2"/>
    <n v="1000000000000000"/>
    <m/>
    <n v="7"/>
    <n v="4.7"/>
    <m/>
    <n v="0"/>
    <n v="0"/>
    <m/>
    <n v="0"/>
    <n v="0"/>
    <n v="0"/>
    <n v="0"/>
    <m/>
  </r>
  <r>
    <d v="2017-10-19T00:00:00"/>
    <x v="1"/>
    <s v="Exos 7E2"/>
    <x v="0"/>
    <x v="0"/>
    <x v="5"/>
    <x v="0"/>
    <n v="4.16"/>
    <m/>
    <n v="0.33333333333333326"/>
    <n v="194"/>
    <n v="5"/>
    <m/>
    <n v="550"/>
    <x v="2"/>
    <n v="1000000000000000"/>
    <m/>
    <n v="7"/>
    <n v="4.7"/>
    <m/>
    <n v="0"/>
    <n v="0"/>
    <n v="306.60000000000002"/>
    <n v="153.30000000000001"/>
    <n v="306.60000000000002"/>
    <n v="153.30000000000001"/>
    <n v="30.660000000000004"/>
    <m/>
  </r>
  <r>
    <d v="2017-10-29T00:00:00"/>
    <x v="1"/>
    <s v="Exos 7E2000"/>
    <x v="0"/>
    <x v="1"/>
    <x v="4"/>
    <x v="0"/>
    <n v="4.16"/>
    <m/>
    <n v="0.33333333333333326"/>
    <n v="136"/>
    <n v="5"/>
    <n v="300000"/>
    <n v="550"/>
    <x v="2"/>
    <n v="1000000000000000"/>
    <m/>
    <n v="5.9"/>
    <n v="3.29"/>
    <n v="1.52"/>
    <n v="4.1768846400000008"/>
    <n v="4.1768846400000008"/>
    <n v="184.41"/>
    <n v="184.41"/>
    <n v="184.41"/>
    <n v="184.41"/>
    <n v="36.881999999999998"/>
    <m/>
  </r>
  <r>
    <d v="2017-10-19T00:00:00"/>
    <x v="1"/>
    <s v="Exos 7E2000"/>
    <x v="0"/>
    <x v="1"/>
    <x v="5"/>
    <x v="0"/>
    <n v="4.16"/>
    <m/>
    <n v="0.33333333333333326"/>
    <n v="136"/>
    <n v="5"/>
    <n v="300000"/>
    <n v="550"/>
    <x v="2"/>
    <n v="1000000000000000"/>
    <m/>
    <n v="6.02"/>
    <n v="3.53"/>
    <n v="1.52"/>
    <n v="4.4135601600000003"/>
    <n v="2.2067800800000001"/>
    <n v="329.99"/>
    <n v="164.995"/>
    <n v="329.99"/>
    <n v="164.995"/>
    <n v="32.999000000000002"/>
    <m/>
  </r>
  <r>
    <d v="2017-10-19T00:00:00"/>
    <x v="1"/>
    <s v="Exos 7E8"/>
    <x v="0"/>
    <x v="0"/>
    <x v="4"/>
    <x v="0"/>
    <n v="4.16"/>
    <m/>
    <n v="0.33333333333333326"/>
    <n v="215"/>
    <n v="5"/>
    <m/>
    <n v="550"/>
    <x v="2"/>
    <n v="1000000000000000"/>
    <m/>
    <n v="5.91"/>
    <n v="4.25"/>
    <m/>
    <n v="5.0205890399999999"/>
    <n v="5.0205890399999999"/>
    <n v="99.99"/>
    <n v="99.99"/>
    <n v="99.99"/>
    <n v="99.99"/>
    <n v="19.997999999999998"/>
    <m/>
  </r>
  <r>
    <d v="2017-11-05T00:00:00"/>
    <x v="1"/>
    <s v="Exos 7E8"/>
    <x v="0"/>
    <x v="0"/>
    <x v="5"/>
    <x v="0"/>
    <n v="4.16"/>
    <m/>
    <n v="0.33333333333333326"/>
    <n v="226"/>
    <n v="5"/>
    <m/>
    <n v="550"/>
    <x v="2"/>
    <n v="1000000000000000"/>
    <m/>
    <n v="5.9"/>
    <n v="4.25"/>
    <n v="0.6"/>
    <n v="5.0183976000000001"/>
    <n v="2.5091988000000001"/>
    <n v="139.99"/>
    <n v="69.995000000000005"/>
    <n v="139.99"/>
    <n v="69.995000000000005"/>
    <n v="13.999000000000001"/>
    <m/>
  </r>
  <r>
    <d v="2017-11-05T00:00:00"/>
    <x v="1"/>
    <s v="Exos 7E8"/>
    <x v="0"/>
    <x v="0"/>
    <x v="0"/>
    <x v="0"/>
    <n v="4.16"/>
    <m/>
    <n v="0.33333333333333326"/>
    <n v="226"/>
    <n v="5"/>
    <m/>
    <n v="550"/>
    <x v="2"/>
    <n v="1000000000000000"/>
    <m/>
    <n v="6.94"/>
    <n v="5.45"/>
    <n v="0.6"/>
    <n v="6.2981985600000003"/>
    <n v="1.5745496400000001"/>
    <n v="189.99"/>
    <n v="47.497500000000002"/>
    <n v="189.99"/>
    <n v="47.497500000000002"/>
    <n v="9.4995000000000012"/>
    <m/>
  </r>
  <r>
    <d v="2017-11-05T00:00:00"/>
    <x v="1"/>
    <s v="Exos 7E8"/>
    <x v="0"/>
    <x v="0"/>
    <x v="1"/>
    <x v="0"/>
    <n v="4.16"/>
    <m/>
    <n v="0.33333333333333326"/>
    <n v="226"/>
    <n v="5"/>
    <m/>
    <n v="550"/>
    <x v="2"/>
    <n v="1000000000000000"/>
    <m/>
    <n v="8.59"/>
    <n v="6.26"/>
    <n v="0.6"/>
    <n v="7.3698127200000005"/>
    <n v="1.2283021200000002"/>
    <n v="244.99"/>
    <n v="40.831666666666671"/>
    <n v="244.99"/>
    <n v="40.831666666666671"/>
    <n v="8.1663333333333341"/>
    <m/>
  </r>
  <r>
    <d v="2017-11-05T00:00:00"/>
    <x v="1"/>
    <s v="Exos 7E8"/>
    <x v="0"/>
    <x v="0"/>
    <x v="2"/>
    <x v="0"/>
    <n v="4.16"/>
    <m/>
    <n v="0.33333333333333326"/>
    <n v="249"/>
    <n v="5"/>
    <m/>
    <n v="550"/>
    <x v="2"/>
    <n v="1000000000000000"/>
    <m/>
    <n v="11"/>
    <n v="7.6"/>
    <n v="0.6"/>
    <n v="9.0725616000000002"/>
    <n v="1.1340702"/>
    <n v="289.99"/>
    <n v="36.248750000000001"/>
    <n v="289.99"/>
    <n v="36.248750000000001"/>
    <n v="7.2497500000000006"/>
    <m/>
  </r>
  <r>
    <d v="2017-10-19T00:00:00"/>
    <x v="1"/>
    <s v="Exos X10"/>
    <x v="0"/>
    <x v="0"/>
    <x v="2"/>
    <x v="0"/>
    <n v="4.16"/>
    <m/>
    <n v="0.33333333333333326"/>
    <n v="237"/>
    <n v="5"/>
    <n v="600000"/>
    <n v="550"/>
    <x v="3"/>
    <n v="1000000000000000"/>
    <n v="26.21"/>
    <n v="7.8"/>
    <n v="5"/>
    <n v="0.8"/>
    <n v="6.0922032000000002"/>
    <n v="0.76152540000000002"/>
    <n v="259.99"/>
    <n v="32.498750000000001"/>
    <n v="259.99"/>
    <n v="32.498750000000001"/>
    <n v="6.4997500000000006"/>
    <s v="Helium filled"/>
  </r>
  <r>
    <d v="2017-10-19T00:00:00"/>
    <x v="1"/>
    <s v="Exos X10"/>
    <x v="0"/>
    <x v="0"/>
    <x v="3"/>
    <x v="0"/>
    <n v="4.16"/>
    <m/>
    <n v="0.33333333333333326"/>
    <n v="237"/>
    <n v="5"/>
    <n v="600000"/>
    <n v="550"/>
    <x v="3"/>
    <n v="1000000000000000"/>
    <n v="26.18"/>
    <n v="7.8"/>
    <n v="5"/>
    <n v="0.8"/>
    <n v="6.0922032000000002"/>
    <n v="0.60922032000000004"/>
    <n v="364.99"/>
    <n v="36.499000000000002"/>
    <n v="364.99"/>
    <n v="36.499000000000002"/>
    <n v="7.2998000000000003"/>
    <s v="Helium filled"/>
  </r>
  <r>
    <d v="2017-10-19T00:00:00"/>
    <x v="1"/>
    <s v="Exos X12"/>
    <x v="0"/>
    <x v="0"/>
    <x v="10"/>
    <x v="0"/>
    <n v="4.16"/>
    <m/>
    <n v="0.33333333333333326"/>
    <n v="261"/>
    <n v="5"/>
    <n v="600000"/>
    <n v="550"/>
    <x v="3"/>
    <n v="1000000000000000"/>
    <n v="25.318000000000001"/>
    <n v="7.8"/>
    <n v="5"/>
    <n v="1.1499999999999999"/>
    <n v="6.0922032000000002"/>
    <n v="0.50768360000000001"/>
    <n v="489.22"/>
    <n v="40.768333333333338"/>
    <n v="489.22"/>
    <n v="40.768333333333338"/>
    <n v="8.153666666666668"/>
    <s v="Helium filled"/>
  </r>
  <r>
    <d v="2017-11-05T00:00:00"/>
    <x v="1"/>
    <s v="FireCuda SSHD"/>
    <x v="1"/>
    <x v="0"/>
    <x v="4"/>
    <x v="0"/>
    <m/>
    <m/>
    <n v="0.33333333333333326"/>
    <m/>
    <n v="5"/>
    <m/>
    <m/>
    <x v="1"/>
    <m/>
    <n v="24"/>
    <n v="5.9"/>
    <n v="4.5"/>
    <n v="0.63"/>
    <n v="5.2375416000000001"/>
    <n v="5.2375416000000001"/>
    <n v="87.22"/>
    <n v="87.22"/>
    <n v="87.22"/>
    <n v="87.22"/>
    <n v="17.443999999999999"/>
    <s v="8GiB NAND"/>
  </r>
  <r>
    <d v="2017-11-05T00:00:00"/>
    <x v="1"/>
    <s v="FireCuda SSHD"/>
    <x v="1"/>
    <x v="0"/>
    <x v="5"/>
    <x v="0"/>
    <m/>
    <m/>
    <n v="0.33333333333333326"/>
    <m/>
    <n v="5"/>
    <m/>
    <m/>
    <x v="1"/>
    <m/>
    <n v="24"/>
    <n v="6.7"/>
    <n v="3.36"/>
    <n v="0.75"/>
    <n v="4.4135601600000003"/>
    <n v="2.2067800800000001"/>
    <n v="113.7"/>
    <n v="56.85"/>
    <n v="113.7"/>
    <n v="56.85"/>
    <n v="11.370000000000001"/>
    <s v="8GiB NAND"/>
  </r>
  <r>
    <d v="2017-11-05T00:00:00"/>
    <x v="1"/>
    <s v="FireCuda SSHD"/>
    <x v="1"/>
    <x v="1"/>
    <x v="4"/>
    <x v="1"/>
    <m/>
    <m/>
    <n v="0"/>
    <m/>
    <n v="5"/>
    <m/>
    <m/>
    <x v="1"/>
    <m/>
    <n v="5"/>
    <n v="1.7"/>
    <n v="1.45"/>
    <m/>
    <n v="1.64358"/>
    <n v="1.64358"/>
    <n v="68.319999999999993"/>
    <n v="68.319999999999993"/>
    <n v="68.319999999999993"/>
    <n v="68.319999999999993"/>
    <n v="13.663999999999998"/>
    <s v="8GiB NAND"/>
  </r>
  <r>
    <d v="2017-11-05T00:00:00"/>
    <x v="1"/>
    <s v="FireCuda SSHD"/>
    <x v="1"/>
    <x v="1"/>
    <x v="5"/>
    <x v="1"/>
    <m/>
    <m/>
    <n v="0"/>
    <m/>
    <n v="5"/>
    <m/>
    <m/>
    <x v="1"/>
    <m/>
    <n v="5"/>
    <n v="1.8"/>
    <n v="1.5"/>
    <m/>
    <n v="1.7093232"/>
    <n v="0.85466160000000002"/>
    <n v="112.56"/>
    <n v="56.28"/>
    <n v="112.56"/>
    <n v="56.28"/>
    <n v="11.256"/>
    <s v="8GiB NAND"/>
  </r>
  <r>
    <d v="2017-10-29T00:00:00"/>
    <x v="1"/>
    <s v="IronWolf"/>
    <x v="0"/>
    <x v="0"/>
    <x v="4"/>
    <x v="6"/>
    <n v="5.0999999999999996"/>
    <n v="11.99"/>
    <n v="9.259259259259256E-2"/>
    <n v="180"/>
    <n v="3"/>
    <n v="600000"/>
    <n v="180"/>
    <x v="0"/>
    <n v="100000000000000"/>
    <n v="14.399999999999999"/>
    <n v="3.76"/>
    <n v="2.5"/>
    <n v="0.8"/>
    <n v="3.0154214399999999"/>
    <n v="3.0154214399999999"/>
    <n v="56.691000000000003"/>
    <n v="56.691000000000003"/>
    <n v="69.163020000000003"/>
    <n v="69.163020000000003"/>
    <n v="13.832604"/>
    <s v="8GiB NAND"/>
  </r>
  <r>
    <d v="2017-11-08T00:00:00"/>
    <x v="1"/>
    <s v="IronWolf"/>
    <x v="0"/>
    <x v="0"/>
    <x v="5"/>
    <x v="6"/>
    <n v="5.0999999999999996"/>
    <n v="11.99"/>
    <n v="9.259259259259256E-2"/>
    <n v="180"/>
    <n v="3"/>
    <n v="600000"/>
    <n v="180"/>
    <x v="0"/>
    <n v="100000000000000"/>
    <n v="24"/>
    <n v="4.3"/>
    <n v="3.56"/>
    <n v="0.8"/>
    <n v="4.0629297600000003"/>
    <n v="2.0314648800000001"/>
    <n v="74.989999999999995"/>
    <n v="37.494999999999997"/>
    <n v="91.487799999999993"/>
    <n v="45.743899999999996"/>
    <n v="9.1487799999999986"/>
    <m/>
  </r>
  <r>
    <d v="2017-10-11T00:00:00"/>
    <x v="1"/>
    <s v="IronWolf"/>
    <x v="0"/>
    <x v="0"/>
    <x v="12"/>
    <x v="6"/>
    <n v="5.0999999999999996"/>
    <n v="11.99"/>
    <n v="9.259259259259256E-2"/>
    <n v="180"/>
    <n v="3"/>
    <n v="600000"/>
    <n v="180"/>
    <x v="0"/>
    <n v="100000000000000"/>
    <n v="24"/>
    <n v="4.8"/>
    <n v="4.8"/>
    <n v="0.6"/>
    <n v="5.2594560000000001"/>
    <n v="1.753152"/>
    <n v="107.99"/>
    <n v="35.996666666666663"/>
    <n v="131.74779999999998"/>
    <n v="43.915933333333328"/>
    <n v="8.7831866666666656"/>
    <m/>
  </r>
  <r>
    <d v="2017-10-31T00:00:00"/>
    <x v="1"/>
    <s v="IronWolf"/>
    <x v="0"/>
    <x v="0"/>
    <x v="0"/>
    <x v="6"/>
    <n v="5.0999999999999996"/>
    <n v="9.5"/>
    <n v="9.259259259259256E-2"/>
    <n v="180"/>
    <n v="3"/>
    <n v="600000"/>
    <n v="180"/>
    <x v="0"/>
    <n v="100000000000000"/>
    <n v="21.6"/>
    <n v="4.8"/>
    <n v="3.95"/>
    <n v="0.5"/>
    <n v="4.5143664000000001"/>
    <n v="1.1285916"/>
    <n v="119.99"/>
    <n v="29.997499999999999"/>
    <n v="146.3878"/>
    <n v="36.59695"/>
    <n v="7.3193900000000003"/>
    <m/>
  </r>
  <r>
    <d v="2017-10-11T00:00:00"/>
    <x v="1"/>
    <s v="IronWolf"/>
    <x v="0"/>
    <x v="0"/>
    <x v="1"/>
    <x v="0"/>
    <n v="4"/>
    <n v="9.5"/>
    <n v="0.33333333333333326"/>
    <n v="210"/>
    <n v="3"/>
    <n v="600000"/>
    <n v="180"/>
    <x v="0"/>
    <n v="1000000000000000"/>
    <n v="21.6"/>
    <n v="8.1"/>
    <n v="7.2"/>
    <n v="0.6"/>
    <n v="8.0864136000000002"/>
    <n v="1.3477356"/>
    <n v="203.99"/>
    <n v="33.998333333333335"/>
    <n v="248.86780000000002"/>
    <n v="41.477966666666667"/>
    <n v="8.2955933333333327"/>
    <m/>
  </r>
  <r>
    <d v="2017-10-11T00:00:00"/>
    <x v="1"/>
    <s v="IronWolf"/>
    <x v="0"/>
    <x v="0"/>
    <x v="2"/>
    <x v="0"/>
    <n v="4"/>
    <n v="9.5"/>
    <n v="0.33333333333333326"/>
    <n v="210"/>
    <n v="3"/>
    <n v="600000"/>
    <n v="180"/>
    <x v="0"/>
    <n v="1000000000000000"/>
    <n v="21.6"/>
    <n v="8.8000000000000007"/>
    <n v="7.6"/>
    <n v="0.6"/>
    <n v="8.5904448000000002"/>
    <n v="1.0738056"/>
    <n v="269.97000000000003"/>
    <n v="33.746250000000003"/>
    <n v="329.36340000000001"/>
    <n v="41.170425000000002"/>
    <n v="8.2340850000000003"/>
    <m/>
  </r>
  <r>
    <d v="2017-10-11T00:00:00"/>
    <x v="1"/>
    <s v="IronWolf"/>
    <x v="0"/>
    <x v="0"/>
    <x v="3"/>
    <x v="0"/>
    <m/>
    <m/>
    <n v="0.33333333333333326"/>
    <n v="210"/>
    <n v="3"/>
    <n v="600000"/>
    <n v="180"/>
    <x v="0"/>
    <n v="1000000000000000"/>
    <n v="21.6"/>
    <n v="7.8"/>
    <n v="5"/>
    <n v="0.8"/>
    <n v="6.0922032000000002"/>
    <n v="0.60922032000000004"/>
    <n v="329.99"/>
    <n v="32.999000000000002"/>
    <n v="402.58780000000002"/>
    <n v="40.258780000000002"/>
    <n v="8.051756000000001"/>
    <m/>
  </r>
  <r>
    <d v="2017-11-05T00:00:00"/>
    <x v="1"/>
    <s v="IronWolf"/>
    <x v="0"/>
    <x v="0"/>
    <x v="10"/>
    <x v="0"/>
    <n v="4.16"/>
    <m/>
    <n v="0.33333333333333326"/>
    <n v="210"/>
    <n v="3"/>
    <n v="600000"/>
    <n v="180"/>
    <x v="0"/>
    <n v="1000000000000000"/>
    <n v="21.6"/>
    <n v="7.8"/>
    <n v="5"/>
    <n v="0.8"/>
    <n v="6.0922032000000002"/>
    <n v="0.50768360000000001"/>
    <n v="472.49"/>
    <n v="39.374166666666667"/>
    <n v="472.49"/>
    <n v="39.374166666666667"/>
    <n v="7.8748333333333331"/>
    <m/>
  </r>
  <r>
    <d v="2017-11-05T00:00:00"/>
    <x v="1"/>
    <s v="IronWolf Pro"/>
    <x v="0"/>
    <x v="0"/>
    <x v="5"/>
    <x v="0"/>
    <n v="4.16"/>
    <m/>
    <n v="0.33333333333333326"/>
    <n v="195"/>
    <n v="5"/>
    <m/>
    <n v="300"/>
    <x v="5"/>
    <n v="1000000000000000"/>
    <n v="24"/>
    <n v="6.5"/>
    <n v="4.6100000000000003"/>
    <n v="0.8"/>
    <n v="5.4654513600000012"/>
    <n v="2.7327256800000006"/>
    <n v="151.9"/>
    <n v="75.95"/>
    <n v="151.9"/>
    <n v="75.95"/>
    <n v="15.190000000000001"/>
    <m/>
  </r>
  <r>
    <d v="2017-11-05T00:00:00"/>
    <x v="1"/>
    <s v="IronWolf Pro"/>
    <x v="0"/>
    <x v="0"/>
    <x v="0"/>
    <x v="0"/>
    <n v="4.16"/>
    <m/>
    <n v="0.33333333333333326"/>
    <n v="214"/>
    <n v="5"/>
    <m/>
    <n v="300"/>
    <x v="5"/>
    <n v="1000000000000000"/>
    <n v="24"/>
    <n v="8.5"/>
    <n v="5.45"/>
    <n v="0.6"/>
    <n v="6.6400632000000002"/>
    <n v="1.6600158"/>
    <n v="204.9"/>
    <n v="51.225000000000001"/>
    <n v="204.9"/>
    <n v="51.225000000000001"/>
    <n v="10.245000000000001"/>
    <m/>
  </r>
  <r>
    <d v="2017-11-05T00:00:00"/>
    <x v="1"/>
    <s v="IronWolf Pro"/>
    <x v="0"/>
    <x v="0"/>
    <x v="1"/>
    <x v="0"/>
    <n v="4.16"/>
    <m/>
    <n v="0.33333333333333326"/>
    <n v="214"/>
    <n v="5"/>
    <m/>
    <n v="300"/>
    <x v="5"/>
    <n v="1000000000000000"/>
    <n v="24"/>
    <n v="8.1"/>
    <n v="7.5"/>
    <n v="0.6"/>
    <n v="8.3493864000000002"/>
    <n v="1.3915644"/>
    <n v="267.81"/>
    <n v="44.634999999999998"/>
    <n v="267.81"/>
    <n v="44.634999999999998"/>
    <n v="8.9269999999999996"/>
    <m/>
  </r>
  <r>
    <d v="2017-09-03T00:00:00"/>
    <x v="1"/>
    <s v="IronWolf Pro"/>
    <x v="0"/>
    <x v="0"/>
    <x v="2"/>
    <x v="0"/>
    <n v="4.16"/>
    <m/>
    <n v="0.33333333333333326"/>
    <n v="214"/>
    <n v="5"/>
    <m/>
    <n v="300"/>
    <x v="5"/>
    <n v="1000000000000000"/>
    <n v="24"/>
    <n v="7.4"/>
    <n v="4.4000000000000004"/>
    <n v="0.8"/>
    <n v="5.478600000000001"/>
    <n v="0.68482500000000013"/>
    <n v="349.99"/>
    <n v="43.748750000000001"/>
    <n v="349.99"/>
    <n v="43.748750000000001"/>
    <n v="8.7497500000000006"/>
    <m/>
  </r>
  <r>
    <d v="2017-10-11T00:00:00"/>
    <x v="1"/>
    <s v="IronWolf Pro"/>
    <x v="0"/>
    <x v="0"/>
    <x v="3"/>
    <x v="0"/>
    <n v="4.16"/>
    <m/>
    <n v="0.33333333333333326"/>
    <n v="214"/>
    <n v="5"/>
    <m/>
    <n v="300"/>
    <x v="5"/>
    <n v="1000000000000000"/>
    <n v="24"/>
    <n v="7.4"/>
    <n v="5"/>
    <n v="0.8"/>
    <n v="6.0045456000000001"/>
    <n v="0.60045455999999997"/>
    <n v="421.17"/>
    <n v="42.117000000000004"/>
    <n v="421.17"/>
    <n v="42.117000000000004"/>
    <n v="8.4234000000000009"/>
    <m/>
  </r>
  <r>
    <d v="2017-11-05T00:00:00"/>
    <x v="1"/>
    <s v="IronWolf Pro"/>
    <x v="0"/>
    <x v="0"/>
    <x v="10"/>
    <x v="0"/>
    <n v="4.16"/>
    <m/>
    <n v="0.33333333333333326"/>
    <m/>
    <n v="5"/>
    <m/>
    <n v="300"/>
    <x v="5"/>
    <n v="1000000000000000"/>
    <n v="24"/>
    <n v="7.8"/>
    <n v="5"/>
    <n v="0.8"/>
    <n v="6.0922032000000002"/>
    <n v="0.50768360000000001"/>
    <n v="509.99"/>
    <n v="42.499166666666667"/>
    <n v="509.99"/>
    <n v="42.499166666666667"/>
    <n v="8.4998333333333331"/>
    <m/>
  </r>
  <r>
    <d v="2017-11-07T00:00:00"/>
    <x v="1"/>
    <s v="Terascale"/>
    <x v="0"/>
    <x v="0"/>
    <x v="0"/>
    <x v="6"/>
    <n v="5.0999999999999996"/>
    <n v="16"/>
    <n v="9.259259259259256E-2"/>
    <n v="140"/>
    <n v="3"/>
    <n v="300000"/>
    <n v="180"/>
    <x v="4"/>
    <n v="100000000000000"/>
    <n v="24"/>
    <n v="6.49"/>
    <n v="4.59"/>
    <n v="0.77"/>
    <n v="5.4457284000000001"/>
    <n v="1.3614321"/>
    <n v="189.99"/>
    <n v="47.497500000000002"/>
    <n v="231.7878"/>
    <n v="57.946950000000001"/>
    <n v="11.58939"/>
    <m/>
  </r>
  <r>
    <d v="2017-11-05T00:00:00"/>
    <x v="2"/>
    <s v="Enterprise Capacity"/>
    <x v="0"/>
    <x v="0"/>
    <x v="1"/>
    <x v="0"/>
    <m/>
    <n v="8.5"/>
    <n v="0.33333333333333326"/>
    <n v="230"/>
    <n v="5"/>
    <n v="600000"/>
    <n v="550"/>
    <x v="3"/>
    <n v="1E+16"/>
    <m/>
    <n v="8.3000000000000007"/>
    <n v="5.6"/>
    <m/>
    <n v="6.7277208000000002"/>
    <n v="1.1212868"/>
    <n v="272.17"/>
    <n v="45.361666666666672"/>
    <n v="272.17"/>
    <n v="45.361666666666672"/>
    <n v="9.0723333333333347"/>
    <s v="Flash Memory Powerloss"/>
  </r>
  <r>
    <d v="2017-11-05T00:00:00"/>
    <x v="2"/>
    <s v="Enterprise Capacity"/>
    <x v="0"/>
    <x v="0"/>
    <x v="2"/>
    <x v="0"/>
    <m/>
    <n v="8.5"/>
    <n v="0.33333333333333326"/>
    <n v="230"/>
    <n v="5"/>
    <n v="600000"/>
    <n v="550"/>
    <x v="3"/>
    <n v="1E+16"/>
    <m/>
    <n v="9.1"/>
    <n v="6.4"/>
    <m/>
    <n v="7.6042968000000002"/>
    <n v="0.95053710000000002"/>
    <n v="340.82"/>
    <n v="42.602499999999999"/>
    <n v="340.82"/>
    <n v="42.602499999999999"/>
    <n v="8.5205000000000002"/>
    <s v="Flash Memory Powerloss"/>
  </r>
  <r>
    <d v="2017-11-05T00:00:00"/>
    <x v="2"/>
    <s v="Enterprise Capacity"/>
    <x v="0"/>
    <x v="0"/>
    <x v="3"/>
    <x v="0"/>
    <m/>
    <n v="8.5"/>
    <n v="0.33333333333333326"/>
    <n v="237"/>
    <n v="5"/>
    <n v="600000"/>
    <n v="550"/>
    <x v="3"/>
    <n v="1E+16"/>
    <m/>
    <n v="10"/>
    <n v="7.3"/>
    <m/>
    <n v="8.5904448000000002"/>
    <n v="0.85904448"/>
    <m/>
    <n v="0"/>
    <n v="0"/>
    <n v="0"/>
    <n v="0"/>
    <s v="Flash Memory Powerloss"/>
  </r>
  <r>
    <d v="2017-11-05T00:00:00"/>
    <x v="2"/>
    <s v="Enterprise Performance"/>
    <x v="0"/>
    <x v="1"/>
    <x v="8"/>
    <x v="4"/>
    <n v="2.86"/>
    <n v="4"/>
    <n v="0.94444444444444442"/>
    <n v="226"/>
    <n v="5"/>
    <m/>
    <m/>
    <x v="2"/>
    <n v="1E+17"/>
    <m/>
    <n v="8.6999999999999993"/>
    <n v="4"/>
    <m/>
    <n v="5.4128568000000001"/>
    <n v="3.0071426666666667"/>
    <n v="349"/>
    <n v="193.88888888888889"/>
    <n v="349"/>
    <n v="193.88888888888889"/>
    <n v="38.777777777777779"/>
    <m/>
  </r>
  <r>
    <d v="2017-11-05T00:00:00"/>
    <x v="2"/>
    <s v="Enterprise Performance"/>
    <x v="0"/>
    <x v="1"/>
    <x v="14"/>
    <x v="5"/>
    <n v="2"/>
    <n v="2.9"/>
    <n v="1.7777777777777777"/>
    <n v="259"/>
    <n v="5"/>
    <n v="600000"/>
    <m/>
    <x v="2"/>
    <n v="1E+17"/>
    <m/>
    <n v="9"/>
    <n v="5.6"/>
    <m/>
    <n v="6.8811216000000002"/>
    <n v="7.6456906666666669"/>
    <n v="194.39"/>
    <n v="215.98888888888888"/>
    <n v="194.39"/>
    <n v="215.98888888888888"/>
    <n v="43.197777777777773"/>
    <m/>
  </r>
  <r>
    <d v="2017-11-07T00:00:00"/>
    <x v="2"/>
    <s v="N300"/>
    <x v="0"/>
    <x v="0"/>
    <x v="0"/>
    <x v="0"/>
    <n v="4.17"/>
    <m/>
    <n v="0.33333333333333326"/>
    <n v="200"/>
    <n v="3"/>
    <m/>
    <n v="180"/>
    <x v="0"/>
    <n v="100000000000000"/>
    <m/>
    <n v="9.6"/>
    <n v="5.2"/>
    <m/>
    <n v="6.6619776000000011"/>
    <n v="1.6654944000000003"/>
    <n v="139.99"/>
    <n v="34.997500000000002"/>
    <n v="170.7878"/>
    <n v="42.696950000000001"/>
    <n v="8.5393900000000009"/>
    <m/>
  </r>
  <r>
    <d v="2017-11-07T00:00:00"/>
    <x v="2"/>
    <s v="N300"/>
    <x v="0"/>
    <x v="0"/>
    <x v="1"/>
    <x v="0"/>
    <n v="4.17"/>
    <m/>
    <n v="0.33333333333333326"/>
    <n v="210"/>
    <n v="3"/>
    <m/>
    <n v="180"/>
    <x v="0"/>
    <n v="100000000000000"/>
    <m/>
    <n v="10.1"/>
    <n v="6.7"/>
    <m/>
    <n v="8.0864136000000002"/>
    <n v="1.3477356"/>
    <n v="219.99"/>
    <n v="36.664999999999999"/>
    <n v="268.38780000000003"/>
    <n v="44.731300000000005"/>
    <n v="8.9462600000000005"/>
    <m/>
  </r>
  <r>
    <d v="2017-11-07T00:00:00"/>
    <x v="2"/>
    <s v="N300"/>
    <x v="0"/>
    <x v="0"/>
    <x v="2"/>
    <x v="0"/>
    <n v="4.17"/>
    <m/>
    <n v="0.33333333333333326"/>
    <n v="240"/>
    <n v="3"/>
    <m/>
    <n v="180"/>
    <x v="0"/>
    <n v="100000000000000"/>
    <m/>
    <n v="9.1999999999999993"/>
    <n v="6.2"/>
    <m/>
    <n v="7.4508960000000002"/>
    <n v="0.93136200000000002"/>
    <n v="229.99"/>
    <n v="28.748750000000001"/>
    <n v="280.58780000000002"/>
    <n v="35.073475000000002"/>
    <n v="7.0146950000000006"/>
    <m/>
  </r>
  <r>
    <d v="2017-10-11T00:00:00"/>
    <x v="2"/>
    <s v="P300"/>
    <x v="1"/>
    <x v="0"/>
    <x v="4"/>
    <x v="0"/>
    <n v="4.17"/>
    <m/>
    <n v="0.33333333333333326"/>
    <m/>
    <n v="2"/>
    <m/>
    <m/>
    <x v="1"/>
    <m/>
    <m/>
    <m/>
    <m/>
    <m/>
    <m/>
    <m/>
    <n v="49.99"/>
    <n v="49.99"/>
    <n v="66.486699999999999"/>
    <n v="66.486699999999999"/>
    <n v="13.29734"/>
    <m/>
  </r>
  <r>
    <d v="2017-10-07T00:00:00"/>
    <x v="2"/>
    <s v="P300"/>
    <x v="1"/>
    <x v="0"/>
    <x v="5"/>
    <x v="0"/>
    <n v="4.17"/>
    <m/>
    <n v="0.33333333333333326"/>
    <m/>
    <n v="2"/>
    <m/>
    <m/>
    <x v="1"/>
    <m/>
    <m/>
    <m/>
    <m/>
    <m/>
    <m/>
    <m/>
    <n v="71.989999999999995"/>
    <n v="35.994999999999997"/>
    <n v="95.74669999999999"/>
    <n v="47.873349999999995"/>
    <n v="9.5746699999999993"/>
    <m/>
  </r>
  <r>
    <d v="2017-11-04T00:00:00"/>
    <x v="2"/>
    <s v="P300"/>
    <x v="1"/>
    <x v="0"/>
    <x v="12"/>
    <x v="0"/>
    <n v="4.17"/>
    <m/>
    <n v="0.33333333333333326"/>
    <m/>
    <n v="2"/>
    <m/>
    <m/>
    <x v="1"/>
    <m/>
    <m/>
    <m/>
    <m/>
    <m/>
    <m/>
    <m/>
    <n v="69.989999999999995"/>
    <n v="23.33"/>
    <n v="93.086699999999993"/>
    <n v="31.028899999999997"/>
    <n v="6.205779999999999"/>
    <m/>
  </r>
  <r>
    <d v="2017-10-11T00:00:00"/>
    <x v="2"/>
    <s v="X300"/>
    <x v="1"/>
    <x v="0"/>
    <x v="0"/>
    <x v="0"/>
    <n v="4.17"/>
    <m/>
    <n v="0.33333333333333326"/>
    <m/>
    <n v="2"/>
    <m/>
    <m/>
    <x v="1"/>
    <m/>
    <m/>
    <m/>
    <m/>
    <m/>
    <m/>
    <m/>
    <n v="129.99"/>
    <n v="32.497500000000002"/>
    <n v="172.88670000000002"/>
    <n v="43.221675000000005"/>
    <n v="8.6443350000000017"/>
    <m/>
  </r>
  <r>
    <d v="2017-10-11T00:00:00"/>
    <x v="2"/>
    <s v="X300"/>
    <x v="1"/>
    <x v="0"/>
    <x v="6"/>
    <x v="0"/>
    <n v="4.17"/>
    <m/>
    <n v="0.33333333333333326"/>
    <m/>
    <n v="2"/>
    <m/>
    <m/>
    <x v="1"/>
    <m/>
    <m/>
    <m/>
    <m/>
    <m/>
    <m/>
    <m/>
    <n v="141.97"/>
    <n v="28.393999999999998"/>
    <n v="188.8201"/>
    <n v="37.764020000000002"/>
    <n v="7.5528040000000001"/>
    <m/>
  </r>
  <r>
    <d v="2017-10-29T00:00:00"/>
    <x v="2"/>
    <s v="X300"/>
    <x v="1"/>
    <x v="0"/>
    <x v="1"/>
    <x v="0"/>
    <n v="4.17"/>
    <m/>
    <n v="0.33333333333333326"/>
    <m/>
    <n v="2"/>
    <m/>
    <m/>
    <x v="1"/>
    <m/>
    <m/>
    <m/>
    <m/>
    <m/>
    <m/>
    <m/>
    <n v="169.99"/>
    <n v="28.331666666666667"/>
    <n v="226.08670000000001"/>
    <n v="37.681116666666668"/>
    <n v="7.5362233333333339"/>
    <m/>
  </r>
  <r>
    <d v="2017-10-11T00:00:00"/>
    <x v="2"/>
    <s v="X300"/>
    <x v="1"/>
    <x v="0"/>
    <x v="2"/>
    <x v="0"/>
    <n v="4.17"/>
    <m/>
    <n v="0.33333333333333326"/>
    <m/>
    <n v="2"/>
    <m/>
    <m/>
    <x v="1"/>
    <m/>
    <m/>
    <m/>
    <m/>
    <m/>
    <m/>
    <m/>
    <n v="254.99"/>
    <n v="31.873750000000001"/>
    <n v="339.13670000000002"/>
    <n v="42.392087500000002"/>
    <n v="8.4784175000000008"/>
    <m/>
  </r>
  <r>
    <d v="2017-11-07T00:00:00"/>
    <x v="3"/>
    <s v="Ae"/>
    <x v="0"/>
    <x v="0"/>
    <x v="1"/>
    <x v="7"/>
    <m/>
    <m/>
    <n v="6.6666666666666652E-2"/>
    <n v="150"/>
    <n v="3"/>
    <n v="300000"/>
    <m/>
    <x v="6"/>
    <n v="100000000000000"/>
    <m/>
    <n v="6.5"/>
    <n v="4.8"/>
    <m/>
    <n v="5.6320008000000001"/>
    <n v="0.93866680000000002"/>
    <n v="159.99"/>
    <n v="26.665000000000003"/>
    <n v="195.18780000000001"/>
    <n v="32.531300000000002"/>
    <n v="6.5062600000000002"/>
    <m/>
  </r>
  <r>
    <d v="2017-11-02T00:00:00"/>
    <x v="3"/>
    <s v="Black"/>
    <x v="1"/>
    <x v="1"/>
    <x v="4"/>
    <x v="0"/>
    <m/>
    <m/>
    <n v="0.33333333333333326"/>
    <m/>
    <n v="5"/>
    <n v="600000"/>
    <m/>
    <x v="1"/>
    <n v="100000000000000"/>
    <n v="5.5"/>
    <n v="1.8"/>
    <n v="0.8"/>
    <n v="0.2"/>
    <n v="1.09572"/>
    <n v="1.09572"/>
    <n v="66.989999999999995"/>
    <n v="66.989999999999995"/>
    <n v="66.989999999999995"/>
    <n v="66.989999999999995"/>
    <n v="13.398"/>
    <m/>
  </r>
  <r>
    <d v="2017-10-21T00:00:00"/>
    <x v="3"/>
    <s v="Black"/>
    <x v="1"/>
    <x v="0"/>
    <x v="4"/>
    <x v="0"/>
    <m/>
    <m/>
    <n v="0.33333333333333326"/>
    <n v="150"/>
    <n v="5"/>
    <n v="300000"/>
    <m/>
    <x v="1"/>
    <n v="100000000000000"/>
    <m/>
    <n v="6.8"/>
    <n v="6.1"/>
    <n v="0.8"/>
    <n v="6.8372928000000002"/>
    <n v="6.8372928000000002"/>
    <n v="69.989999999999995"/>
    <n v="69.989999999999995"/>
    <n v="69.989999999999995"/>
    <n v="69.989999999999995"/>
    <n v="13.997999999999999"/>
    <m/>
  </r>
  <r>
    <d v="2017-11-08T00:00:00"/>
    <x v="3"/>
    <s v="Black"/>
    <x v="1"/>
    <x v="0"/>
    <x v="5"/>
    <x v="0"/>
    <m/>
    <m/>
    <n v="0.33333333333333326"/>
    <n v="164"/>
    <n v="5"/>
    <n v="300000"/>
    <m/>
    <x v="1"/>
    <n v="100000000000000"/>
    <m/>
    <n v="9.5"/>
    <n v="8.1"/>
    <n v="1.3"/>
    <n v="9.1821336000000002"/>
    <n v="4.5910668000000001"/>
    <n v="109.99"/>
    <n v="54.994999999999997"/>
    <n v="109.99"/>
    <n v="54.994999999999997"/>
    <n v="10.998999999999999"/>
    <m/>
  </r>
  <r>
    <d v="2017-10-19T00:00:00"/>
    <x v="3"/>
    <s v="Black"/>
    <x v="1"/>
    <x v="0"/>
    <x v="0"/>
    <x v="0"/>
    <m/>
    <m/>
    <n v="0.33333333333333326"/>
    <n v="202"/>
    <n v="5"/>
    <n v="300000"/>
    <m/>
    <x v="1"/>
    <n v="100000000000000"/>
    <m/>
    <n v="9.1"/>
    <n v="5.8"/>
    <n v="1"/>
    <n v="7.0783512000000002"/>
    <n v="1.7695878"/>
    <n v="169.99"/>
    <n v="42.497500000000002"/>
    <n v="169.99"/>
    <n v="42.497500000000002"/>
    <n v="8.4995000000000012"/>
    <m/>
  </r>
  <r>
    <d v="2017-09-22T00:00:00"/>
    <x v="3"/>
    <s v="Black"/>
    <x v="1"/>
    <x v="0"/>
    <x v="6"/>
    <x v="0"/>
    <m/>
    <m/>
    <n v="0.33333333333333326"/>
    <n v="194"/>
    <n v="5"/>
    <n v="300000"/>
    <m/>
    <x v="1"/>
    <n v="100000000000000"/>
    <m/>
    <n v="10.6"/>
    <n v="7.6"/>
    <n v="1.6"/>
    <n v="8.9849040000000002"/>
    <n v="1.7969808"/>
    <n v="134.99"/>
    <n v="26.998000000000001"/>
    <n v="134.99"/>
    <n v="26.998000000000001"/>
    <n v="5.3996000000000004"/>
    <m/>
  </r>
  <r>
    <d v="2017-10-25T00:00:00"/>
    <x v="3"/>
    <s v="Black"/>
    <x v="1"/>
    <x v="0"/>
    <x v="1"/>
    <x v="0"/>
    <m/>
    <m/>
    <n v="0.33333333333333326"/>
    <n v="227"/>
    <n v="5"/>
    <n v="300000"/>
    <m/>
    <x v="1"/>
    <n v="100000000000000"/>
    <m/>
    <n v="9.1"/>
    <n v="7.1"/>
    <n v="1"/>
    <n v="8.2179000000000002"/>
    <n v="1.36965"/>
    <n v="219.99"/>
    <n v="36.664999999999999"/>
    <n v="219.99"/>
    <n v="36.664999999999999"/>
    <n v="7.3330000000000002"/>
    <m/>
  </r>
  <r>
    <d v="2017-11-07T00:00:00"/>
    <x v="3"/>
    <s v="Blue"/>
    <x v="1"/>
    <x v="0"/>
    <x v="4"/>
    <x v="1"/>
    <m/>
    <m/>
    <n v="0"/>
    <n v="150"/>
    <n v="2"/>
    <n v="300000"/>
    <m/>
    <x v="1"/>
    <n v="100000000000000"/>
    <m/>
    <m/>
    <m/>
    <m/>
    <m/>
    <m/>
    <n v="44.99"/>
    <n v="44.99"/>
    <n v="59.8367"/>
    <n v="59.8367"/>
    <n v="11.96734"/>
    <m/>
  </r>
  <r>
    <d v="2017-11-04T00:00:00"/>
    <x v="3"/>
    <s v="Blue"/>
    <x v="1"/>
    <x v="0"/>
    <x v="5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7641092"/>
    <n v="59.99"/>
    <n v="29.995000000000001"/>
    <n v="79.786699999999996"/>
    <n v="39.893349999999998"/>
    <n v="7.9786699999999993"/>
    <m/>
  </r>
  <r>
    <d v="2017-10-25T00:00:00"/>
    <x v="3"/>
    <s v="Blue"/>
    <x v="1"/>
    <x v="0"/>
    <x v="12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1760728"/>
    <n v="79.989999999999995"/>
    <n v="26.66333333333333"/>
    <n v="106.38669999999999"/>
    <n v="35.46223333333333"/>
    <n v="7.0924466666666657"/>
    <m/>
  </r>
  <r>
    <d v="2017-11-14T00:00:00"/>
    <x v="3"/>
    <s v="Blue"/>
    <x v="1"/>
    <x v="0"/>
    <x v="0"/>
    <x v="1"/>
    <m/>
    <m/>
    <n v="0"/>
    <n v="150"/>
    <n v="2"/>
    <n v="300000"/>
    <m/>
    <x v="1"/>
    <n v="100000000000000"/>
    <n v="21"/>
    <n v="5.3"/>
    <n v="3.4"/>
    <n v="0.4"/>
    <n v="4.1418216000000001"/>
    <n v="1.0354554"/>
    <n v="99.99"/>
    <n v="24.997499999999999"/>
    <n v="132.98669999999998"/>
    <n v="33.246674999999996"/>
    <n v="6.6493349999999989"/>
    <m/>
  </r>
  <r>
    <d v="2017-08-13T00:00:00"/>
    <x v="3"/>
    <s v="Blue"/>
    <x v="1"/>
    <x v="0"/>
    <x v="6"/>
    <x v="1"/>
    <m/>
    <m/>
    <n v="0"/>
    <n v="170"/>
    <n v="2"/>
    <n v="300000"/>
    <m/>
    <x v="1"/>
    <n v="100000000000000"/>
    <n v="21"/>
    <n v="5.3"/>
    <n v="3.4"/>
    <n v="0.4"/>
    <n v="4.1418216000000001"/>
    <n v="0.82836432000000004"/>
    <n v="235.89"/>
    <n v="47.177999999999997"/>
    <n v="313.7337"/>
    <n v="62.746740000000003"/>
    <n v="12.549348"/>
    <m/>
  </r>
  <r>
    <d v="2017-10-11T00:00:00"/>
    <x v="3"/>
    <s v="Blue"/>
    <x v="1"/>
    <x v="0"/>
    <x v="1"/>
    <x v="1"/>
    <m/>
    <m/>
    <n v="0"/>
    <n v="175"/>
    <n v="2"/>
    <n v="300000"/>
    <m/>
    <x v="1"/>
    <n v="100000000000000"/>
    <n v="21"/>
    <n v="5.3"/>
    <n v="3.4"/>
    <n v="0.4"/>
    <n v="4.1418216000000001"/>
    <n v="0.69030360000000002"/>
    <n v="196.99"/>
    <n v="32.831666666666671"/>
    <n v="261.99670000000003"/>
    <n v="43.666116666666674"/>
    <n v="8.7332233333333349"/>
    <m/>
  </r>
  <r>
    <d v="2017-10-25T00:00:00"/>
    <x v="3"/>
    <s v="Blue"/>
    <x v="1"/>
    <x v="1"/>
    <x v="4"/>
    <x v="1"/>
    <m/>
    <m/>
    <n v="0"/>
    <m/>
    <n v="2"/>
    <n v="600000"/>
    <m/>
    <x v="1"/>
    <n v="100000000000000"/>
    <n v="5"/>
    <n v="1.5"/>
    <n v="0.5"/>
    <n v="0.1"/>
    <n v="0.76700400000000002"/>
    <n v="0.76700400000000002"/>
    <n v="44.99"/>
    <n v="44.99"/>
    <n v="59.8367"/>
    <n v="59.8367"/>
    <n v="11.96734"/>
    <m/>
  </r>
  <r>
    <d v="2017-08-13T00:00:00"/>
    <x v="3"/>
    <s v="Blue"/>
    <x v="1"/>
    <x v="1"/>
    <x v="5"/>
    <x v="1"/>
    <m/>
    <m/>
    <n v="0"/>
    <m/>
    <n v="2"/>
    <n v="600000"/>
    <m/>
    <x v="1"/>
    <n v="100000000000000"/>
    <n v="5"/>
    <n v="1.7"/>
    <n v="0.8"/>
    <n v="0.2"/>
    <n v="1.0738056"/>
    <n v="0.53690280000000001"/>
    <n v="141.99"/>
    <n v="70.995000000000005"/>
    <n v="188.8467"/>
    <n v="94.423349999999999"/>
    <n v="18.88467"/>
    <m/>
  </r>
  <r>
    <d v="2017-10-19T00:00:00"/>
    <x v="3"/>
    <s v="Gold Enterprise"/>
    <x v="0"/>
    <x v="0"/>
    <x v="4"/>
    <x v="0"/>
    <m/>
    <m/>
    <n v="0.33333333333333326"/>
    <n v="184"/>
    <n v="5"/>
    <n v="600000"/>
    <n v="550"/>
    <x v="2"/>
    <n v="1000000000000000"/>
    <m/>
    <n v="8.1"/>
    <n v="5.9"/>
    <m/>
    <n v="6.9468648000000002"/>
    <n v="6.9468648000000002"/>
    <n v="74.989999999999995"/>
    <n v="74.989999999999995"/>
    <n v="74.989999999999995"/>
    <n v="74.989999999999995"/>
    <n v="14.997999999999999"/>
    <m/>
  </r>
  <r>
    <d v="2017-10-29T00:00:00"/>
    <x v="3"/>
    <s v="Gold Enterprise"/>
    <x v="0"/>
    <x v="0"/>
    <x v="5"/>
    <x v="0"/>
    <m/>
    <m/>
    <n v="0.33333333333333326"/>
    <n v="200"/>
    <n v="5"/>
    <n v="600000"/>
    <n v="550"/>
    <x v="2"/>
    <n v="1000000000000000"/>
    <m/>
    <n v="8.1"/>
    <n v="5.9"/>
    <m/>
    <n v="6.9468648000000002"/>
    <n v="3.4734324000000001"/>
    <n v="119.99"/>
    <n v="59.994999999999997"/>
    <n v="119.99"/>
    <n v="59.994999999999997"/>
    <n v="11.998999999999999"/>
    <m/>
  </r>
  <r>
    <d v="2017-10-11T00:00:00"/>
    <x v="3"/>
    <s v="Gold Enterprise"/>
    <x v="0"/>
    <x v="0"/>
    <x v="0"/>
    <x v="0"/>
    <m/>
    <m/>
    <n v="0.33333333333333326"/>
    <n v="201"/>
    <n v="5"/>
    <n v="600000"/>
    <n v="550"/>
    <x v="2"/>
    <n v="1000000000000000"/>
    <m/>
    <n v="9"/>
    <n v="7"/>
    <m/>
    <n v="8.1083280000000002"/>
    <n v="2.0270820000000001"/>
    <n v="164"/>
    <n v="41"/>
    <n v="164"/>
    <n v="41"/>
    <n v="8.1999999999999993"/>
    <m/>
  </r>
  <r>
    <d v="2017-10-11T00:00:00"/>
    <x v="3"/>
    <s v="Gold Enterprise"/>
    <x v="0"/>
    <x v="0"/>
    <x v="1"/>
    <x v="0"/>
    <m/>
    <m/>
    <n v="0.33333333333333326"/>
    <n v="226"/>
    <n v="5"/>
    <n v="600000"/>
    <n v="550"/>
    <x v="2"/>
    <n v="1000000000000000"/>
    <m/>
    <n v="9.3000000000000007"/>
    <n v="7.1"/>
    <m/>
    <n v="8.2617288000000002"/>
    <n v="1.3769548"/>
    <n v="234.99"/>
    <n v="39.164999999999999"/>
    <n v="234.99"/>
    <n v="39.164999999999999"/>
    <n v="7.8330000000000002"/>
    <s v="Media caching"/>
  </r>
  <r>
    <d v="2017-11-01T00:00:00"/>
    <x v="3"/>
    <s v="Gold Enterprise"/>
    <x v="0"/>
    <x v="0"/>
    <x v="2"/>
    <x v="0"/>
    <m/>
    <m/>
    <n v="0.33333333333333326"/>
    <n v="205"/>
    <n v="5"/>
    <n v="600000"/>
    <n v="550"/>
    <x v="3"/>
    <n v="1000000000000000"/>
    <m/>
    <n v="7.2"/>
    <n v="5.0999999999999996"/>
    <m/>
    <n v="6.0483743999999993"/>
    <n v="0.75604679999999991"/>
    <n v="339.99"/>
    <n v="42.498750000000001"/>
    <n v="339.99"/>
    <n v="42.498750000000001"/>
    <n v="8.4997500000000006"/>
    <s v="Helium filled"/>
  </r>
  <r>
    <d v="2017-11-01T00:00:00"/>
    <x v="3"/>
    <s v="Gold Enterprise"/>
    <x v="0"/>
    <x v="0"/>
    <x v="3"/>
    <x v="0"/>
    <m/>
    <m/>
    <n v="0.33333333333333326"/>
    <n v="249"/>
    <n v="5"/>
    <n v="600000"/>
    <n v="550"/>
    <x v="3"/>
    <n v="1000000000000000"/>
    <m/>
    <n v="7.1"/>
    <n v="5"/>
    <m/>
    <n v="5.9388024000000001"/>
    <n v="0.59388024000000006"/>
    <n v="409.99"/>
    <n v="40.999000000000002"/>
    <n v="409.99"/>
    <n v="40.999000000000002"/>
    <n v="8.1997999999999998"/>
    <s v="Helium filled"/>
  </r>
  <r>
    <d v="2017-10-11T00:00:00"/>
    <x v="3"/>
    <s v="Gold Enterprise"/>
    <x v="0"/>
    <x v="0"/>
    <x v="10"/>
    <x v="0"/>
    <n v="4.16"/>
    <m/>
    <n v="0.33333333333333326"/>
    <n v="255"/>
    <n v="5"/>
    <n v="600000"/>
    <n v="550"/>
    <x v="3"/>
    <n v="1000000000000000"/>
    <m/>
    <n v="7"/>
    <n v="5"/>
    <m/>
    <n v="5.9168880000000001"/>
    <n v="0.49307400000000001"/>
    <n v="539.99"/>
    <n v="44.999166666666667"/>
    <n v="539.99"/>
    <n v="44.999166666666667"/>
    <n v="8.9998333333333331"/>
    <s v="Helium filled"/>
  </r>
  <r>
    <d v="2017-08-14T00:00:00"/>
    <x v="3"/>
    <s v="Red NAS"/>
    <x v="0"/>
    <x v="1"/>
    <x v="15"/>
    <x v="1"/>
    <m/>
    <m/>
    <n v="0"/>
    <n v="144"/>
    <n v="3"/>
    <n v="600000"/>
    <n v="180"/>
    <x v="0"/>
    <n v="100000000000000"/>
    <n v="5"/>
    <n v="1.4"/>
    <n v="0.6"/>
    <n v="0.2"/>
    <n v="0.83274720000000002"/>
    <n v="1.1103296"/>
    <n v="54.99"/>
    <n v="73.320000000000007"/>
    <n v="67.087800000000001"/>
    <n v="89.450400000000002"/>
    <n v="17.890080000000001"/>
    <m/>
  </r>
  <r>
    <d v="2017-08-14T00:00:00"/>
    <x v="3"/>
    <s v="Red NAS"/>
    <x v="0"/>
    <x v="1"/>
    <x v="4"/>
    <x v="1"/>
    <m/>
    <m/>
    <n v="0"/>
    <n v="144"/>
    <n v="3"/>
    <n v="600000"/>
    <n v="180"/>
    <x v="0"/>
    <n v="100000000000000"/>
    <n v="5"/>
    <n v="1.4"/>
    <n v="0.6"/>
    <n v="0.2"/>
    <n v="0.83274720000000002"/>
    <n v="0.83274720000000002"/>
    <n v="72.989999999999995"/>
    <n v="72.989999999999995"/>
    <n v="89.047799999999995"/>
    <n v="89.047799999999995"/>
    <n v="17.809559999999998"/>
    <m/>
  </r>
  <r>
    <d v="2017-10-11T00:00:00"/>
    <x v="3"/>
    <s v="Red NAS"/>
    <x v="0"/>
    <x v="0"/>
    <x v="4"/>
    <x v="1"/>
    <m/>
    <m/>
    <n v="0"/>
    <n v="150"/>
    <n v="3"/>
    <n v="600000"/>
    <n v="180"/>
    <x v="0"/>
    <n v="100000000000000"/>
    <n v="14.399999999999999"/>
    <n v="3.3"/>
    <n v="2.2999999999999998"/>
    <n v="0.4"/>
    <n v="2.7393000000000001"/>
    <n v="2.7393000000000001"/>
    <n v="59.99"/>
    <n v="59.99"/>
    <n v="73.18780000000001"/>
    <n v="73.18780000000001"/>
    <n v="14.637560000000002"/>
    <m/>
  </r>
  <r>
    <d v="2017-10-11T00:00:00"/>
    <x v="3"/>
    <s v="Red NAS"/>
    <x v="0"/>
    <x v="0"/>
    <x v="5"/>
    <x v="1"/>
    <m/>
    <m/>
    <n v="0"/>
    <n v="147"/>
    <n v="3"/>
    <n v="600000"/>
    <n v="180"/>
    <x v="0"/>
    <n v="100000000000000"/>
    <n v="20.759999999999998"/>
    <n v="4.0999999999999996"/>
    <n v="2.7"/>
    <n v="0.4"/>
    <n v="3.2652456000000005"/>
    <n v="1.6326228000000003"/>
    <n v="84.99"/>
    <n v="42.494999999999997"/>
    <n v="103.6878"/>
    <n v="51.843899999999998"/>
    <n v="10.368779999999999"/>
    <m/>
  </r>
  <r>
    <d v="2017-11-07T00:00:00"/>
    <x v="3"/>
    <s v="Red NAS"/>
    <x v="0"/>
    <x v="0"/>
    <x v="12"/>
    <x v="1"/>
    <m/>
    <n v="8.9"/>
    <n v="0"/>
    <n v="147"/>
    <n v="3"/>
    <n v="600000"/>
    <n v="180"/>
    <x v="0"/>
    <n v="100000000000000"/>
    <n v="20.759999999999998"/>
    <n v="4.0999999999999996"/>
    <n v="2.7"/>
    <n v="0.4"/>
    <n v="3.2652456000000005"/>
    <n v="1.0884152000000002"/>
    <n v="95.99"/>
    <n v="31.996666666666666"/>
    <n v="117.1078"/>
    <n v="39.035933333333332"/>
    <n v="7.8071866666666665"/>
    <m/>
  </r>
  <r>
    <d v="2017-11-07T00:00:00"/>
    <x v="3"/>
    <s v="Red NAS"/>
    <x v="0"/>
    <x v="0"/>
    <x v="0"/>
    <x v="1"/>
    <m/>
    <m/>
    <n v="0"/>
    <n v="150"/>
    <n v="3"/>
    <n v="600000"/>
    <n v="180"/>
    <x v="0"/>
    <n v="100000000000000"/>
    <n v="21"/>
    <n v="4.5"/>
    <n v="3.3"/>
    <n v="0.4"/>
    <n v="3.8788488000000001"/>
    <n v="0.96971220000000002"/>
    <n v="133.99"/>
    <n v="33.497500000000002"/>
    <n v="163.46780000000001"/>
    <n v="40.866950000000003"/>
    <n v="8.1733900000000013"/>
    <m/>
  </r>
  <r>
    <d v="2017-09-30T00:00:00"/>
    <x v="3"/>
    <s v="Red NAS"/>
    <x v="0"/>
    <x v="0"/>
    <x v="6"/>
    <x v="1"/>
    <m/>
    <m/>
    <n v="0"/>
    <m/>
    <n v="3"/>
    <n v="600000"/>
    <n v="180"/>
    <x v="0"/>
    <n v="100000000000000"/>
    <n v="21"/>
    <n v="5.3"/>
    <n v="3.4"/>
    <n v="0.4"/>
    <n v="4.1418216000000001"/>
    <n v="0.82836432000000004"/>
    <n v="262"/>
    <n v="52.4"/>
    <n v="319.64"/>
    <n v="63.927999999999997"/>
    <n v="12.785599999999999"/>
    <m/>
  </r>
  <r>
    <d v="2017-11-11T00:00:00"/>
    <x v="3"/>
    <s v="Red NAS"/>
    <x v="0"/>
    <x v="0"/>
    <x v="1"/>
    <x v="1"/>
    <m/>
    <m/>
    <n v="0"/>
    <n v="175"/>
    <n v="3"/>
    <n v="600000"/>
    <n v="180"/>
    <x v="0"/>
    <n v="100000000000000"/>
    <n v="21"/>
    <n v="5.3"/>
    <n v="3.4"/>
    <n v="0.4"/>
    <n v="4.1418216000000001"/>
    <n v="0.69030360000000002"/>
    <n v="189.99"/>
    <n v="31.665000000000003"/>
    <n v="231.7878"/>
    <n v="38.631300000000003"/>
    <n v="7.7262600000000008"/>
    <m/>
  </r>
  <r>
    <d v="2017-11-04T00:00:00"/>
    <x v="3"/>
    <s v="Red NAS"/>
    <x v="0"/>
    <x v="0"/>
    <x v="2"/>
    <x v="1"/>
    <m/>
    <m/>
    <n v="0"/>
    <n v="178"/>
    <n v="3"/>
    <n v="600000"/>
    <n v="180"/>
    <x v="0"/>
    <n v="100000000000000"/>
    <n v="21.48"/>
    <n v="6.4"/>
    <n v="5.2"/>
    <n v="0.7"/>
    <n v="5.960716800000001"/>
    <n v="0.74508960000000013"/>
    <n v="254.99"/>
    <n v="31.873750000000001"/>
    <n v="311.08780000000002"/>
    <n v="38.885975000000002"/>
    <n v="7.7771950000000007"/>
    <s v="Helium filled"/>
  </r>
  <r>
    <d v="2017-10-31T00:00:00"/>
    <x v="3"/>
    <s v="Red NAS"/>
    <x v="0"/>
    <x v="0"/>
    <x v="3"/>
    <x v="1"/>
    <m/>
    <m/>
    <n v="0"/>
    <n v="210"/>
    <n v="3"/>
    <n v="600000"/>
    <n v="180"/>
    <x v="0"/>
    <n v="100000000000000"/>
    <n v="21.48"/>
    <n v="5.7"/>
    <n v="2.8"/>
    <n v="0.5"/>
    <n v="3.7035336000000001"/>
    <n v="0.37035336000000002"/>
    <n v="349.99"/>
    <n v="34.999000000000002"/>
    <n v="426.98779999999999"/>
    <n v="42.698779999999999"/>
    <n v="8.5397560000000006"/>
    <s v="Helium filled"/>
  </r>
  <r>
    <d v="2017-10-11T00:00:00"/>
    <x v="3"/>
    <s v="RED NAS Pro"/>
    <x v="0"/>
    <x v="0"/>
    <x v="5"/>
    <x v="0"/>
    <m/>
    <m/>
    <n v="0.33333333333333326"/>
    <n v="164"/>
    <n v="5"/>
    <n v="600000"/>
    <n v="300"/>
    <x v="0"/>
    <n v="1000000000000000"/>
    <n v="22.799999999999997"/>
    <n v="7.8"/>
    <n v="6"/>
    <n v="1.4"/>
    <n v="6.9687792000000002"/>
    <n v="3.4843896000000001"/>
    <n v="120.99"/>
    <n v="60.494999999999997"/>
    <n v="120.99"/>
    <n v="60.494999999999997"/>
    <n v="12.099"/>
    <m/>
  </r>
  <r>
    <d v="2017-09-23T00:00:00"/>
    <x v="3"/>
    <s v="RED NAS Pro"/>
    <x v="0"/>
    <x v="0"/>
    <x v="12"/>
    <x v="0"/>
    <m/>
    <m/>
    <n v="0.33333333333333326"/>
    <m/>
    <n v="5"/>
    <n v="600000"/>
    <n v="300"/>
    <x v="0"/>
    <n v="1000000000000000"/>
    <n v="22.799999999999997"/>
    <n v="8.6"/>
    <n v="6.5"/>
    <n v="0.6"/>
    <n v="7.5823824000000002"/>
    <n v="2.5274608000000001"/>
    <n v="209.99"/>
    <n v="69.99666666666667"/>
    <n v="209.99"/>
    <n v="69.99666666666667"/>
    <n v="13.999333333333334"/>
    <m/>
  </r>
  <r>
    <d v="2017-10-11T00:00:00"/>
    <x v="3"/>
    <s v="RED NAS Pro"/>
    <x v="0"/>
    <x v="0"/>
    <x v="0"/>
    <x v="0"/>
    <m/>
    <m/>
    <n v="0.33333333333333326"/>
    <n v="202"/>
    <n v="5"/>
    <n v="600000"/>
    <n v="300"/>
    <x v="0"/>
    <n v="1000000000000000"/>
    <n v="21.48"/>
    <n v="9.1"/>
    <n v="7.1"/>
    <n v="1"/>
    <n v="8.2179000000000002"/>
    <n v="2.0544750000000001"/>
    <n v="174.99"/>
    <n v="43.747500000000002"/>
    <n v="174.99"/>
    <n v="43.747500000000002"/>
    <n v="8.7495000000000012"/>
    <m/>
  </r>
  <r>
    <d v="2017-04-17T00:00:00"/>
    <x v="3"/>
    <s v="RED NAS Pro"/>
    <x v="0"/>
    <x v="0"/>
    <x v="6"/>
    <x v="0"/>
    <m/>
    <m/>
    <n v="0.33333333333333326"/>
    <m/>
    <n v="5"/>
    <n v="600000"/>
    <n v="300"/>
    <x v="0"/>
    <n v="1000000000000000"/>
    <n v="22.799999999999997"/>
    <n v="10.6"/>
    <n v="7.4"/>
    <n v="1.6"/>
    <n v="8.8095888000000002"/>
    <n v="1.76191776"/>
    <n v="259.99"/>
    <n v="51.998000000000005"/>
    <n v="259.99"/>
    <n v="51.998000000000005"/>
    <n v="10.399600000000001"/>
    <m/>
  </r>
  <r>
    <d v="2017-10-20T00:00:00"/>
    <x v="3"/>
    <s v="RED NAS Pro"/>
    <x v="0"/>
    <x v="0"/>
    <x v="1"/>
    <x v="0"/>
    <m/>
    <m/>
    <n v="0.33333333333333326"/>
    <n v="227"/>
    <n v="5"/>
    <n v="600000"/>
    <n v="300"/>
    <x v="0"/>
    <n v="1000000000000000"/>
    <n v="21.48"/>
    <n v="9.1"/>
    <n v="7.1"/>
    <n v="1"/>
    <n v="8.2179000000000002"/>
    <n v="1.36965"/>
    <n v="230"/>
    <n v="38.333333333333336"/>
    <n v="230"/>
    <n v="38.333333333333336"/>
    <n v="7.666666666666667"/>
    <m/>
  </r>
  <r>
    <d v="2017-10-11T00:00:00"/>
    <x v="3"/>
    <s v="RED NAS Pro"/>
    <x v="0"/>
    <x v="0"/>
    <x v="2"/>
    <x v="0"/>
    <m/>
    <m/>
    <n v="0.33333333333333326"/>
    <n v="205"/>
    <n v="5"/>
    <n v="600000"/>
    <n v="300"/>
    <x v="0"/>
    <n v="1000000000000000"/>
    <n v="21.48"/>
    <n v="8.3000000000000007"/>
    <n v="5.2"/>
    <n v="1"/>
    <n v="6.377090400000001"/>
    <n v="0.79713630000000013"/>
    <n v="328"/>
    <n v="41"/>
    <n v="328"/>
    <n v="41"/>
    <n v="8.1999999999999993"/>
    <s v="Helium filled"/>
  </r>
  <r>
    <d v="2017-10-11T00:00:00"/>
    <x v="3"/>
    <s v="RED NAS Pro"/>
    <x v="0"/>
    <x v="0"/>
    <x v="3"/>
    <x v="0"/>
    <m/>
    <m/>
    <n v="0.33333333333333326"/>
    <n v="240"/>
    <n v="5"/>
    <n v="600000"/>
    <n v="300"/>
    <x v="0"/>
    <n v="1000000000000000"/>
    <n v="21.6"/>
    <n v="5.7"/>
    <n v="2.8"/>
    <n v="0.5"/>
    <n v="3.7035336000000001"/>
    <n v="0.37035336000000002"/>
    <n v="440.77"/>
    <n v="44.076999999999998"/>
    <n v="440.77"/>
    <n v="44.076999999999998"/>
    <n v="8.8154000000000003"/>
    <s v="Helium filled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18">
  <r>
    <d v="2017-10-28T00:00:00"/>
    <s v="HGST"/>
    <s v="Deskstar NAS"/>
    <x v="0"/>
    <x v="0"/>
    <x v="0"/>
    <n v="7200"/>
    <m/>
    <n v="11.99"/>
    <n v="0.33333333333333326"/>
    <n v="202"/>
    <n v="3"/>
    <n v="600000"/>
    <m/>
    <n v="1000000"/>
    <n v="100000000000000"/>
    <n v="30"/>
    <m/>
    <n v="7.3"/>
    <m/>
    <m/>
    <m/>
    <n v="109.995"/>
    <n v="27.498750000000001"/>
    <n v="134.19390000000001"/>
    <n v="33.548475000000003"/>
    <n v="6.7096950000000009"/>
  </r>
  <r>
    <d v="2017-11-07T00:00:00"/>
    <s v="HGST"/>
    <s v="Deskstar NAS"/>
    <x v="0"/>
    <x v="0"/>
    <x v="1"/>
    <n v="7200"/>
    <m/>
    <n v="11.99"/>
    <n v="0.33333333333333326"/>
    <n v="227"/>
    <n v="3"/>
    <n v="600000"/>
    <m/>
    <n v="1000000"/>
    <n v="100000000000000"/>
    <n v="30"/>
    <m/>
    <n v="7.3"/>
    <m/>
    <m/>
    <m/>
    <n v="178.99"/>
    <n v="29.831666666666667"/>
    <n v="218.36780000000002"/>
    <n v="36.394633333333338"/>
    <n v="7.2789266666666679"/>
  </r>
  <r>
    <d v="2017-11-02T00:00:00"/>
    <s v="HGST"/>
    <s v="Deskstar NAS"/>
    <x v="0"/>
    <x v="0"/>
    <x v="2"/>
    <n v="7200"/>
    <m/>
    <n v="11.99"/>
    <n v="0.33333333333333326"/>
    <n v="205"/>
    <n v="3"/>
    <n v="600000"/>
    <m/>
    <n v="1000000"/>
    <n v="100000000000000"/>
    <n v="30"/>
    <m/>
    <n v="5.0999999999999996"/>
    <m/>
    <m/>
    <m/>
    <n v="229.99"/>
    <n v="28.748750000000001"/>
    <n v="280.58780000000002"/>
    <n v="35.073475000000002"/>
    <n v="7.0146950000000006"/>
  </r>
  <r>
    <d v="2017-11-04T00:00:00"/>
    <s v="HGST"/>
    <s v="Deskstar NAS"/>
    <x v="0"/>
    <x v="0"/>
    <x v="3"/>
    <n v="7200"/>
    <m/>
    <n v="11.99"/>
    <n v="0.33333333333333326"/>
    <n v="240"/>
    <n v="3"/>
    <n v="600000"/>
    <m/>
    <n v="1000000"/>
    <n v="100000000000000"/>
    <n v="30"/>
    <m/>
    <n v="5.0999999999999996"/>
    <m/>
    <m/>
    <m/>
    <n v="299.99"/>
    <n v="29.999000000000002"/>
    <n v="365.98779999999999"/>
    <n v="36.598779999999998"/>
    <n v="7.3197559999999999"/>
  </r>
  <r>
    <d v="2017-09-27T00:00:00"/>
    <s v="HGST"/>
    <s v="Travelstar 5K100"/>
    <x v="1"/>
    <x v="1"/>
    <x v="4"/>
    <n v="5400"/>
    <n v="5.5"/>
    <n v="12"/>
    <n v="0"/>
    <n v="99"/>
    <n v="3"/>
    <n v="600000"/>
    <m/>
    <m/>
    <m/>
    <n v="4.5"/>
    <n v="1.6"/>
    <n v="0.8"/>
    <n v="0.2"/>
    <m/>
    <m/>
    <n v="49.99"/>
    <n v="49.99"/>
    <n v="60.9878"/>
    <n v="60.9878"/>
    <n v="12.197559999999999"/>
  </r>
  <r>
    <d v="2017-11-08T00:00:00"/>
    <s v="HGST"/>
    <s v="Travelstar 7K100"/>
    <x v="1"/>
    <x v="1"/>
    <x v="4"/>
    <n v="7200"/>
    <n v="4.2"/>
    <n v="12"/>
    <n v="0.33333333333333326"/>
    <n v="128"/>
    <n v="3"/>
    <n v="600000"/>
    <m/>
    <m/>
    <m/>
    <n v="5.5"/>
    <n v="2.7"/>
    <n v="2"/>
    <n v="0.2"/>
    <m/>
    <m/>
    <n v="49.99"/>
    <n v="49.99"/>
    <n v="60.9878"/>
    <n v="60.9878"/>
    <n v="12.197559999999999"/>
  </r>
  <r>
    <d v="2017-09-06T00:00:00"/>
    <s v="HGST"/>
    <s v="Ultrastar 7K6"/>
    <x v="0"/>
    <x v="0"/>
    <x v="5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4.1089500000000001"/>
    <n v="149.34"/>
    <n v="74.67"/>
    <n v="149.34"/>
    <n v="74.67"/>
    <n v="14.934000000000001"/>
  </r>
  <r>
    <d v="2017-09-06T00:00:00"/>
    <s v="HGST"/>
    <s v="Ultrastar 7K6"/>
    <x v="0"/>
    <x v="0"/>
    <x v="0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2.0544750000000001"/>
    <n v="255.99"/>
    <n v="63.997500000000002"/>
    <n v="255.99"/>
    <n v="63.997500000000002"/>
    <n v="12.7995"/>
  </r>
  <r>
    <d v="2017-09-06T00:00:00"/>
    <s v="HGST"/>
    <s v="Ultrastar 7K6"/>
    <x v="0"/>
    <x v="0"/>
    <x v="6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1.64358"/>
    <n v="381.42"/>
    <n v="76.284000000000006"/>
    <n v="381.42"/>
    <n v="76.284000000000006"/>
    <n v="15.256800000000002"/>
  </r>
  <r>
    <d v="2017-09-06T00:00:00"/>
    <s v="HGST"/>
    <s v="Ultrastar 7K6"/>
    <x v="0"/>
    <x v="0"/>
    <x v="1"/>
    <n v="7200"/>
    <n v="4.16"/>
    <n v="8"/>
    <n v="0.33333333333333326"/>
    <n v="216"/>
    <n v="5"/>
    <n v="600000"/>
    <m/>
    <n v="2000000"/>
    <n v="1000000000000000"/>
    <m/>
    <n v="9.1"/>
    <n v="7.1"/>
    <m/>
    <n v="8.2179000000000002"/>
    <n v="1.36965"/>
    <n v="301.52999999999997"/>
    <n v="50.254999999999995"/>
    <n v="301.52999999999997"/>
    <n v="50.254999999999995"/>
    <n v="10.050999999999998"/>
  </r>
  <r>
    <d v="2017-10-25T00:00:00"/>
    <s v="HGST"/>
    <s v="Ultrastar Archive Ha10"/>
    <x v="2"/>
    <x v="0"/>
    <x v="2"/>
    <n v="7200"/>
    <n v="4.16"/>
    <n v="8.5"/>
    <n v="0.33333333333333326"/>
    <n v="157"/>
    <n v="5"/>
    <n v="600000"/>
    <m/>
    <n v="2000000"/>
    <n v="1000000000000000"/>
    <m/>
    <n v="7.6"/>
    <n v="5.0999999999999996"/>
    <m/>
    <n v="6.1360319999999993"/>
    <n v="0.76700399999999991"/>
    <n v="373"/>
    <n v="46.625"/>
    <n v="373"/>
    <n v="46.625"/>
    <n v="9.3249999999999993"/>
  </r>
  <r>
    <d v="2017-11-08T00:00:00"/>
    <s v="HGST"/>
    <s v="Ultrastar C10K1200"/>
    <x v="0"/>
    <x v="1"/>
    <x v="7"/>
    <n v="10520"/>
    <n v="2.85"/>
    <n v="4.4000000000000004"/>
    <n v="0.94814814814814818"/>
    <n v="224"/>
    <n v="5"/>
    <m/>
    <m/>
    <n v="2000000"/>
    <n v="1E+16"/>
    <m/>
    <n v="6.5"/>
    <n v="4.7"/>
    <m/>
    <n v="5.5443432000000001"/>
    <n v="4.6202860000000001"/>
    <n v="170"/>
    <n v="141.66666666666669"/>
    <n v="170"/>
    <n v="141.66666666666669"/>
    <n v="28.333333333333336"/>
  </r>
  <r>
    <d v="2017-11-08T00:00:00"/>
    <s v="HGST"/>
    <s v="Ultrastar C10K1800"/>
    <x v="0"/>
    <x v="1"/>
    <x v="8"/>
    <n v="10520"/>
    <n v="2.85"/>
    <n v="4.4000000000000004"/>
    <n v="0.94814814814814818"/>
    <n v="224"/>
    <n v="5"/>
    <m/>
    <m/>
    <n v="2000000"/>
    <n v="1E+16"/>
    <m/>
    <n v="6.6"/>
    <n v="4.7"/>
    <m/>
    <n v="5.5662576000000001"/>
    <n v="3.0923653333333334"/>
    <n v="229.99"/>
    <n v="127.77222222222223"/>
    <n v="229.99"/>
    <n v="127.77222222222223"/>
    <n v="25.554444444444446"/>
  </r>
  <r>
    <d v="2017-11-11T00:00:00"/>
    <s v="HGST"/>
    <s v="Ultrastar C15K600"/>
    <x v="0"/>
    <x v="1"/>
    <x v="9"/>
    <n v="15030"/>
    <n v="1.99"/>
    <n v="3.1"/>
    <n v="1.7833333333333332"/>
    <n v="250"/>
    <n v="5"/>
    <m/>
    <m/>
    <n v="2000000"/>
    <n v="1E+17"/>
    <m/>
    <n v="7.5"/>
    <n v="5.8"/>
    <m/>
    <n v="6.7277208000000002"/>
    <n v="11.212868"/>
    <n v="189.95"/>
    <n v="316.58333333333331"/>
    <n v="189.95"/>
    <n v="316.58333333333331"/>
    <n v="63.316666666666663"/>
  </r>
  <r>
    <d v="2017-10-11T00:00:00"/>
    <s v="HGST"/>
    <s v="Ultrastar He6"/>
    <x v="0"/>
    <x v="0"/>
    <x v="1"/>
    <n v="7200"/>
    <n v="4.16"/>
    <n v="9"/>
    <n v="0.33333333333333326"/>
    <n v="195"/>
    <n v="5"/>
    <n v="600000"/>
    <n v="550"/>
    <n v="2500000"/>
    <n v="1000000000000000"/>
    <m/>
    <n v="7.4"/>
    <n v="5.0999999999999996"/>
    <m/>
    <n v="6.0922031999999993"/>
    <n v="1.0153671999999998"/>
    <n v="169.99"/>
    <n v="28.331666666666667"/>
    <n v="169.99"/>
    <n v="28.331666666666667"/>
    <n v="5.6663333333333332"/>
  </r>
  <r>
    <d v="2017-11-11T00:00:00"/>
    <s v="HGST"/>
    <s v="Ultrastar He8"/>
    <x v="0"/>
    <x v="0"/>
    <x v="2"/>
    <n v="7200"/>
    <n v="4.16"/>
    <n v="8.5"/>
    <n v="0.33333333333333326"/>
    <n v="237"/>
    <n v="5"/>
    <n v="600000"/>
    <n v="550"/>
    <n v="2500000"/>
    <n v="1000000000000000"/>
    <m/>
    <n v="7.4"/>
    <n v="5.0999999999999996"/>
    <m/>
    <n v="6.0922031999999993"/>
    <n v="0.76152539999999991"/>
    <n v="285"/>
    <n v="35.625"/>
    <n v="285"/>
    <n v="35.625"/>
    <n v="7.125"/>
  </r>
  <r>
    <d v="2017-09-27T00:00:00"/>
    <s v="HGST"/>
    <s v="Ultrastar He10"/>
    <x v="0"/>
    <x v="0"/>
    <x v="3"/>
    <n v="7200"/>
    <n v="4.16"/>
    <n v="8"/>
    <n v="0.33333333333333326"/>
    <n v="237"/>
    <n v="5"/>
    <n v="600000"/>
    <n v="550"/>
    <n v="2500000"/>
    <n v="1000000000000000"/>
    <m/>
    <n v="6.8"/>
    <n v="5"/>
    <m/>
    <n v="5.8730592000000001"/>
    <n v="0.58730592000000004"/>
    <n v="349.99"/>
    <n v="34.999000000000002"/>
    <n v="349.99"/>
    <n v="34.999000000000002"/>
    <n v="6.9998000000000005"/>
  </r>
  <r>
    <d v="2017-09-27T00:00:00"/>
    <s v="HGST"/>
    <s v="Ultrastar He12"/>
    <x v="0"/>
    <x v="0"/>
    <x v="10"/>
    <n v="7200"/>
    <n v="4.16"/>
    <n v="8.6"/>
    <n v="0.33333333333333326"/>
    <n v="243"/>
    <n v="5"/>
    <n v="600000"/>
    <n v="550"/>
    <n v="2500000"/>
    <n v="1000000000000000"/>
    <m/>
    <n v="7.2"/>
    <n v="5.3"/>
    <m/>
    <n v="6.2236896000000002"/>
    <n v="0.51864080000000001"/>
    <n v="619.98"/>
    <n v="51.664999999999999"/>
    <n v="619.98"/>
    <n v="51.664999999999999"/>
    <n v="10.333"/>
  </r>
  <r>
    <d v="2017-10-13T00:00:00"/>
    <s v="HGST"/>
    <s v="Ultrastar Hs14"/>
    <x v="2"/>
    <x v="0"/>
    <x v="11"/>
    <n v="7200"/>
    <n v="4.16"/>
    <n v="12"/>
    <n v="0.33333333333333326"/>
    <n v="223"/>
    <n v="5"/>
    <n v="600000"/>
    <n v="550"/>
    <n v="2500000"/>
    <n v="1000000000000000"/>
    <m/>
    <n v="6.4"/>
    <n v="5.2"/>
    <m/>
    <n v="5.960716800000001"/>
    <n v="0.4257654857142858"/>
    <m/>
    <n v="0"/>
    <n v="0"/>
    <n v="0"/>
    <n v="0"/>
  </r>
  <r>
    <d v="2017-11-11T00:00:00"/>
    <s v="Seagate"/>
    <s v="BarraCuda"/>
    <x v="1"/>
    <x v="0"/>
    <x v="4"/>
    <n v="7200"/>
    <n v="4.16"/>
    <n v="9.5"/>
    <n v="0.33333333333333326"/>
    <n v="156"/>
    <n v="2"/>
    <n v="300000"/>
    <n v="55"/>
    <m/>
    <n v="100000000000000"/>
    <n v="24"/>
    <n v="5.3"/>
    <n v="4.5999999999999996"/>
    <n v="0.94"/>
    <n v="5.1937128000000001"/>
    <n v="5.1937128000000001"/>
    <n v="46.99"/>
    <n v="46.99"/>
    <n v="62.496700000000004"/>
    <n v="62.496700000000004"/>
    <n v="12.49934"/>
  </r>
  <r>
    <d v="2017-11-11T00:00:00"/>
    <s v="Seagate"/>
    <s v="BarraCuda"/>
    <x v="1"/>
    <x v="0"/>
    <x v="5"/>
    <n v="7200"/>
    <n v="6"/>
    <n v="9.5"/>
    <n v="0.33333333333333326"/>
    <n v="156"/>
    <n v="2"/>
    <n v="300000"/>
    <n v="55"/>
    <m/>
    <n v="100000000000000"/>
    <n v="30"/>
    <n v="8"/>
    <n v="5.4"/>
    <n v="0.75"/>
    <n v="6.486662400000001"/>
    <n v="3.2433312000000005"/>
    <n v="59.99"/>
    <n v="29.995000000000001"/>
    <n v="79.786699999999996"/>
    <n v="39.893349999999998"/>
    <n v="7.9786699999999993"/>
  </r>
  <r>
    <d v="2017-11-11T00:00:00"/>
    <s v="Seagate"/>
    <s v="BarraCuda"/>
    <x v="1"/>
    <x v="0"/>
    <x v="12"/>
    <n v="7200"/>
    <n v="6"/>
    <n v="9.5"/>
    <n v="0.33333333333333326"/>
    <n v="156"/>
    <n v="2"/>
    <n v="300000"/>
    <n v="55"/>
    <m/>
    <n v="100000000000000"/>
    <n v="30"/>
    <n v="8"/>
    <n v="5.4"/>
    <n v="0.75"/>
    <n v="6.486662400000001"/>
    <n v="2.1622208000000005"/>
    <n v="69.989999999999995"/>
    <n v="23.33"/>
    <n v="93.086699999999993"/>
    <n v="31.028899999999997"/>
    <n v="6.205779999999999"/>
  </r>
  <r>
    <d v="2017-11-11T00:00:00"/>
    <s v="Seagate"/>
    <s v="BarraCuda"/>
    <x v="1"/>
    <x v="0"/>
    <x v="0"/>
    <n v="7200"/>
    <n v="6"/>
    <n v="9.5"/>
    <n v="0.33333333333333326"/>
    <n v="190"/>
    <n v="2"/>
    <n v="300000"/>
    <n v="55"/>
    <m/>
    <n v="100000000000000"/>
    <n v="24"/>
    <n v="5"/>
    <n v="2.5"/>
    <n v="0.25"/>
    <n v="3.2871600000000001"/>
    <n v="0.82179000000000002"/>
    <n v="99.99"/>
    <n v="24.997499999999999"/>
    <n v="132.98669999999998"/>
    <n v="33.246674999999996"/>
    <n v="6.6493349999999989"/>
  </r>
  <r>
    <d v="2017-10-11T00:00:00"/>
    <s v="Seagate"/>
    <s v="BarraCuda"/>
    <x v="1"/>
    <x v="1"/>
    <x v="4"/>
    <n v="5400"/>
    <m/>
    <m/>
    <n v="0"/>
    <n v="140"/>
    <n v="2"/>
    <n v="600000"/>
    <m/>
    <m/>
    <n v="100000000000000"/>
    <n v="5"/>
    <n v="1.7"/>
    <n v="0.45"/>
    <m/>
    <n v="0.76700400000000002"/>
    <n v="0.76700400000000002"/>
    <n v="49.99"/>
    <n v="49.99"/>
    <n v="66.486699999999999"/>
    <n v="66.486699999999999"/>
    <n v="13.29734"/>
  </r>
  <r>
    <d v="2017-10-11T00:00:00"/>
    <s v="Seagate"/>
    <s v="BarraCuda"/>
    <x v="1"/>
    <x v="1"/>
    <x v="5"/>
    <n v="5400"/>
    <m/>
    <m/>
    <n v="0"/>
    <n v="140"/>
    <n v="2"/>
    <n v="600000"/>
    <m/>
    <m/>
    <n v="100000000000000"/>
    <n v="5"/>
    <n v="1.8"/>
    <n v="0.5"/>
    <m/>
    <n v="0.83274720000000002"/>
    <n v="0.41637360000000001"/>
    <n v="66.989999999999995"/>
    <n v="33.494999999999997"/>
    <n v="89.096699999999998"/>
    <n v="44.548349999999999"/>
    <n v="8.9096700000000002"/>
  </r>
  <r>
    <d v="2017-10-11T00:00:00"/>
    <s v="Seagate"/>
    <s v="BarraCuda"/>
    <x v="1"/>
    <x v="1"/>
    <x v="12"/>
    <n v="5400"/>
    <m/>
    <m/>
    <n v="0"/>
    <n v="140"/>
    <n v="2"/>
    <n v="600000"/>
    <m/>
    <m/>
    <n v="100000000000000"/>
    <n v="6"/>
    <n v="2.1"/>
    <n v="1.1000000000000001"/>
    <m/>
    <n v="1.4244360000000003"/>
    <n v="0.47481200000000007"/>
    <n v="89.99"/>
    <n v="29.996666666666666"/>
    <n v="119.6867"/>
    <n v="39.895566666666667"/>
    <n v="7.9791133333333333"/>
  </r>
  <r>
    <d v="2017-10-11T00:00:00"/>
    <s v="Seagate"/>
    <s v="BarraCuda"/>
    <x v="1"/>
    <x v="1"/>
    <x v="0"/>
    <n v="5400"/>
    <m/>
    <m/>
    <n v="0"/>
    <n v="140"/>
    <n v="2"/>
    <n v="600000"/>
    <m/>
    <m/>
    <n v="100000000000000"/>
    <n v="6"/>
    <n v="2.1"/>
    <n v="1.1000000000000001"/>
    <m/>
    <n v="1.4244360000000003"/>
    <n v="0.35610900000000006"/>
    <n v="114.99"/>
    <n v="28.747499999999999"/>
    <n v="152.9367"/>
    <n v="38.234175"/>
    <n v="7.6468350000000003"/>
  </r>
  <r>
    <d v="2017-07-31T00:00:00"/>
    <s v="Seagate"/>
    <s v="BarraCuda"/>
    <x v="1"/>
    <x v="1"/>
    <x v="6"/>
    <n v="5400"/>
    <m/>
    <m/>
    <n v="0"/>
    <n v="140"/>
    <n v="2"/>
    <n v="600000"/>
    <m/>
    <m/>
    <n v="100000000000000"/>
    <n v="6"/>
    <n v="2.1"/>
    <n v="1.1000000000000001"/>
    <m/>
    <n v="1.4244360000000003"/>
    <n v="0.28488720000000006"/>
    <n v="209.99"/>
    <n v="41.998000000000005"/>
    <n v="279.2867"/>
    <n v="55.857340000000001"/>
    <n v="11.171468000000001"/>
  </r>
  <r>
    <d v="2017-10-11T00:00:00"/>
    <s v="Seagate"/>
    <s v="BarraCuda Pro"/>
    <x v="1"/>
    <x v="0"/>
    <x v="5"/>
    <n v="7200"/>
    <n v="4.16"/>
    <m/>
    <n v="0.33333333333333326"/>
    <n v="195"/>
    <n v="5"/>
    <n v="600000"/>
    <n v="180"/>
    <m/>
    <n v="1000000000000000"/>
    <n v="24"/>
    <n v="7.5"/>
    <n v="4.5"/>
    <n v="0.8"/>
    <n v="5.5881720000000001"/>
    <n v="2.7940860000000001"/>
    <n v="127.99"/>
    <n v="63.994999999999997"/>
    <n v="127.99"/>
    <n v="63.994999999999997"/>
    <n v="12.798999999999999"/>
  </r>
  <r>
    <d v="2017-10-11T00:00:00"/>
    <s v="Seagate"/>
    <s v="BarraCuda Pro"/>
    <x v="1"/>
    <x v="0"/>
    <x v="0"/>
    <n v="7200"/>
    <n v="4.16"/>
    <m/>
    <n v="0.33333333333333326"/>
    <n v="214"/>
    <n v="5"/>
    <n v="600000"/>
    <n v="180"/>
    <m/>
    <n v="1000000000000000"/>
    <n v="24"/>
    <n v="6.7"/>
    <n v="6"/>
    <n v="0.6"/>
    <n v="6.7277208000000002"/>
    <n v="1.6819302"/>
    <n v="174.99"/>
    <n v="43.747500000000002"/>
    <n v="174.99"/>
    <n v="43.747500000000002"/>
    <n v="8.7495000000000012"/>
  </r>
  <r>
    <d v="2017-05-06T00:00:00"/>
    <s v="Seagate"/>
    <s v="BarraCuda Pro"/>
    <x v="1"/>
    <x v="0"/>
    <x v="6"/>
    <n v="7200"/>
    <n v="4.16"/>
    <m/>
    <n v="0.33333333333333326"/>
    <n v="220"/>
    <n v="5"/>
    <n v="300000"/>
    <n v="300"/>
    <m/>
    <n v="1000000000000000"/>
    <n v="23.28"/>
    <n v="8.3699999999999992"/>
    <n v="4.42"/>
    <n v="0.8"/>
    <n v="5.7087012000000001"/>
    <n v="1.1417402400000001"/>
    <n v="214.99"/>
    <n v="42.998000000000005"/>
    <n v="214.99"/>
    <n v="42.998000000000005"/>
    <n v="8.5996000000000006"/>
  </r>
  <r>
    <d v="2017-10-11T00:00:00"/>
    <s v="Seagate"/>
    <s v="BarraCuda Pro"/>
    <x v="1"/>
    <x v="0"/>
    <x v="1"/>
    <n v="7200"/>
    <n v="4.16"/>
    <m/>
    <n v="0.33333333333333326"/>
    <n v="180"/>
    <n v="5"/>
    <n v="300000"/>
    <n v="300"/>
    <m/>
    <n v="1000000000000000"/>
    <n v="24"/>
    <n v="9"/>
    <n v="7.2"/>
    <n v="0.6"/>
    <n v="8.2836432000000002"/>
    <n v="1.3806072"/>
    <n v="249.99"/>
    <n v="41.664999999999999"/>
    <n v="249.99"/>
    <n v="41.664999999999999"/>
    <n v="8.3330000000000002"/>
  </r>
  <r>
    <d v="2017-10-11T00:00:00"/>
    <s v="Seagate"/>
    <s v="BarraCuda Pro"/>
    <x v="1"/>
    <x v="0"/>
    <x v="2"/>
    <n v="7200"/>
    <n v="4.16"/>
    <m/>
    <n v="0.33333333333333326"/>
    <n v="220"/>
    <n v="5"/>
    <n v="300000"/>
    <n v="300"/>
    <m/>
    <n v="1000000000000000"/>
    <n v="24"/>
    <n v="6.8"/>
    <n v="4.5"/>
    <n v="0.8"/>
    <n v="5.4347712000000001"/>
    <n v="0.67934640000000002"/>
    <n v="324.99"/>
    <n v="40.623750000000001"/>
    <n v="324.99"/>
    <n v="40.623750000000001"/>
    <n v="8.1247500000000006"/>
  </r>
  <r>
    <d v="2017-10-11T00:00:00"/>
    <s v="Seagate"/>
    <s v="BarraCuda Pro"/>
    <x v="1"/>
    <x v="0"/>
    <x v="3"/>
    <n v="7200"/>
    <n v="4.16"/>
    <m/>
    <n v="0.33333333333333326"/>
    <n v="220"/>
    <n v="5"/>
    <n v="300000"/>
    <n v="300"/>
    <m/>
    <n v="1000000000000000"/>
    <n v="21.6"/>
    <n v="6.8"/>
    <n v="4.5"/>
    <n v="0.8"/>
    <n v="5.4347712000000001"/>
    <n v="0.54347712000000004"/>
    <n v="424.99"/>
    <n v="42.499000000000002"/>
    <n v="424.99"/>
    <n v="42.499000000000002"/>
    <n v="8.4998000000000005"/>
  </r>
  <r>
    <d v="2017-11-05T00:00:00"/>
    <s v="Seagate"/>
    <s v="BarraCuda Pro"/>
    <x v="1"/>
    <x v="0"/>
    <x v="10"/>
    <n v="7200"/>
    <m/>
    <m/>
    <n v="0.33333333333333326"/>
    <n v="250"/>
    <n v="5"/>
    <n v="300000"/>
    <n v="300"/>
    <m/>
    <m/>
    <m/>
    <m/>
    <m/>
    <m/>
    <m/>
    <m/>
    <n v="519.99"/>
    <n v="43.332500000000003"/>
    <n v="519.99"/>
    <n v="43.332500000000003"/>
    <n v="8.666500000000001"/>
  </r>
  <r>
    <d v="2017-10-19T00:00:00"/>
    <s v="Seagate"/>
    <s v="Exos 10E2400"/>
    <x v="0"/>
    <x v="1"/>
    <x v="8"/>
    <n v="10500"/>
    <n v="2.9"/>
    <m/>
    <n v="0.94444444444444442"/>
    <n v="270"/>
    <n v="5"/>
    <m/>
    <n v="550"/>
    <n v="2000000"/>
    <n v="1E+16"/>
    <m/>
    <n v="6.95"/>
    <n v="4.26"/>
    <m/>
    <n v="5.2572645600000003"/>
    <n v="2.9207025333333334"/>
    <m/>
    <n v="0"/>
    <n v="0"/>
    <n v="0"/>
    <n v="0"/>
  </r>
  <r>
    <d v="2017-10-19T00:00:00"/>
    <s v="Seagate"/>
    <s v="Exos 10E2400"/>
    <x v="0"/>
    <x v="1"/>
    <x v="13"/>
    <n v="10500"/>
    <n v="2.9"/>
    <m/>
    <n v="0.94444444444444442"/>
    <n v="270"/>
    <n v="5"/>
    <m/>
    <n v="550"/>
    <n v="2000000"/>
    <n v="1E+16"/>
    <m/>
    <n v="8.57"/>
    <n v="4.9000000000000004"/>
    <m/>
    <n v="6.1732864799999998"/>
    <n v="2.5722027000000001"/>
    <n v="514.99"/>
    <n v="214.57916666666668"/>
    <n v="514.99"/>
    <n v="214.57916666666668"/>
    <n v="42.915833333333339"/>
  </r>
  <r>
    <d v="2017-10-19T00:00:00"/>
    <s v="Seagate"/>
    <s v="Exos 15E900"/>
    <x v="0"/>
    <x v="0"/>
    <x v="14"/>
    <n v="15000"/>
    <n v="2"/>
    <m/>
    <n v="1.7777777777777777"/>
    <n v="215"/>
    <n v="5"/>
    <m/>
    <n v="550"/>
    <n v="2000000"/>
    <n v="1E+16"/>
    <m/>
    <n v="7.6"/>
    <n v="5.7"/>
    <m/>
    <n v="6.6619776000000002"/>
    <n v="7.4021973333333335"/>
    <m/>
    <n v="0"/>
    <n v="0"/>
    <n v="0"/>
    <n v="0"/>
  </r>
  <r>
    <d v="2017-10-19T00:00:00"/>
    <s v="Seagate"/>
    <s v="Exos 5E8"/>
    <x v="2"/>
    <x v="0"/>
    <x v="2"/>
    <n v="5900"/>
    <m/>
    <m/>
    <n v="9.259259259259256E-2"/>
    <n v="190"/>
    <n v="3"/>
    <n v="300000"/>
    <n v="180"/>
    <n v="800000"/>
    <n v="100000000000000"/>
    <n v="24"/>
    <n v="5.3"/>
    <n v="3.7"/>
    <n v="0.99"/>
    <n v="4.4047944000000001"/>
    <n v="0.55059930000000001"/>
    <n v="229.99"/>
    <n v="28.748750000000001"/>
    <n v="280.58780000000002"/>
    <n v="35.073475000000002"/>
    <n v="7.0146950000000006"/>
  </r>
  <r>
    <d v="2017-10-19T00:00:00"/>
    <s v="Seagate"/>
    <s v="Exos 7E2"/>
    <x v="0"/>
    <x v="0"/>
    <x v="4"/>
    <n v="7200"/>
    <n v="4.16"/>
    <m/>
    <n v="0.33333333333333326"/>
    <n v="194"/>
    <n v="5"/>
    <m/>
    <n v="550"/>
    <n v="2000000"/>
    <n v="1000000000000000"/>
    <m/>
    <n v="7"/>
    <n v="4.7"/>
    <m/>
    <n v="0"/>
    <n v="0"/>
    <m/>
    <n v="0"/>
    <n v="0"/>
    <n v="0"/>
    <n v="0"/>
  </r>
  <r>
    <d v="2017-10-19T00:00:00"/>
    <s v="Seagate"/>
    <s v="Exos 7E2"/>
    <x v="0"/>
    <x v="0"/>
    <x v="5"/>
    <n v="7200"/>
    <n v="4.16"/>
    <m/>
    <n v="0.33333333333333326"/>
    <n v="194"/>
    <n v="5"/>
    <m/>
    <n v="550"/>
    <n v="2000000"/>
    <n v="1000000000000000"/>
    <m/>
    <n v="7"/>
    <n v="4.7"/>
    <m/>
    <n v="0"/>
    <n v="0"/>
    <n v="306.60000000000002"/>
    <n v="153.30000000000001"/>
    <n v="306.60000000000002"/>
    <n v="153.30000000000001"/>
    <n v="30.660000000000004"/>
  </r>
  <r>
    <d v="2017-10-29T00:00:00"/>
    <s v="Seagate"/>
    <s v="Exos 7E2000"/>
    <x v="0"/>
    <x v="1"/>
    <x v="4"/>
    <n v="7200"/>
    <n v="4.16"/>
    <m/>
    <n v="0.33333333333333326"/>
    <n v="136"/>
    <n v="5"/>
    <n v="300000"/>
    <n v="550"/>
    <n v="2000000"/>
    <n v="1000000000000000"/>
    <m/>
    <n v="5.9"/>
    <n v="3.29"/>
    <n v="1.52"/>
    <n v="4.1768846400000008"/>
    <n v="4.1768846400000008"/>
    <n v="184.41"/>
    <n v="184.41"/>
    <n v="184.41"/>
    <n v="184.41"/>
    <n v="36.881999999999998"/>
  </r>
  <r>
    <d v="2017-10-19T00:00:00"/>
    <s v="Seagate"/>
    <s v="Exos 7E2000"/>
    <x v="0"/>
    <x v="1"/>
    <x v="5"/>
    <n v="7200"/>
    <n v="4.16"/>
    <m/>
    <n v="0.33333333333333326"/>
    <n v="136"/>
    <n v="5"/>
    <n v="300000"/>
    <n v="550"/>
    <n v="2000000"/>
    <n v="1000000000000000"/>
    <m/>
    <n v="6.02"/>
    <n v="3.53"/>
    <n v="1.52"/>
    <n v="4.4135601600000003"/>
    <n v="2.2067800800000001"/>
    <n v="329.99"/>
    <n v="164.995"/>
    <n v="329.99"/>
    <n v="164.995"/>
    <n v="32.999000000000002"/>
  </r>
  <r>
    <d v="2017-10-19T00:00:00"/>
    <s v="Seagate"/>
    <s v="Exos 7E8"/>
    <x v="0"/>
    <x v="0"/>
    <x v="4"/>
    <n v="7200"/>
    <n v="4.16"/>
    <m/>
    <n v="0.33333333333333326"/>
    <n v="215"/>
    <n v="5"/>
    <m/>
    <n v="550"/>
    <n v="2000000"/>
    <n v="1000000000000000"/>
    <m/>
    <n v="5.91"/>
    <n v="4.25"/>
    <m/>
    <n v="5.0205890399999999"/>
    <n v="5.0205890399999999"/>
    <n v="99.99"/>
    <n v="99.99"/>
    <n v="99.99"/>
    <n v="99.99"/>
    <n v="19.997999999999998"/>
  </r>
  <r>
    <d v="2017-11-05T00:00:00"/>
    <s v="Seagate"/>
    <s v="Exos 7E8"/>
    <x v="0"/>
    <x v="0"/>
    <x v="5"/>
    <n v="7200"/>
    <n v="4.16"/>
    <m/>
    <n v="0.33333333333333326"/>
    <n v="226"/>
    <n v="5"/>
    <m/>
    <n v="550"/>
    <n v="2000000"/>
    <n v="1000000000000000"/>
    <m/>
    <n v="5.9"/>
    <n v="4.25"/>
    <n v="0.6"/>
    <n v="5.0183976000000001"/>
    <n v="2.5091988000000001"/>
    <n v="139.99"/>
    <n v="69.995000000000005"/>
    <n v="139.99"/>
    <n v="69.995000000000005"/>
    <n v="13.999000000000001"/>
  </r>
  <r>
    <d v="2017-11-05T00:00:00"/>
    <s v="Seagate"/>
    <s v="Exos 7E8"/>
    <x v="0"/>
    <x v="0"/>
    <x v="0"/>
    <n v="7200"/>
    <n v="4.16"/>
    <m/>
    <n v="0.33333333333333326"/>
    <n v="226"/>
    <n v="5"/>
    <m/>
    <n v="550"/>
    <n v="2000000"/>
    <n v="1000000000000000"/>
    <m/>
    <n v="6.94"/>
    <n v="5.45"/>
    <n v="0.6"/>
    <n v="6.2981985600000003"/>
    <n v="1.5745496400000001"/>
    <n v="189.99"/>
    <n v="47.497500000000002"/>
    <n v="189.99"/>
    <n v="47.497500000000002"/>
    <n v="9.4995000000000012"/>
  </r>
  <r>
    <d v="2017-11-05T00:00:00"/>
    <s v="Seagate"/>
    <s v="Exos 7E8"/>
    <x v="0"/>
    <x v="0"/>
    <x v="1"/>
    <n v="7200"/>
    <n v="4.16"/>
    <m/>
    <n v="0.33333333333333326"/>
    <n v="226"/>
    <n v="5"/>
    <m/>
    <n v="550"/>
    <n v="2000000"/>
    <n v="1000000000000000"/>
    <m/>
    <n v="8.59"/>
    <n v="6.26"/>
    <n v="0.6"/>
    <n v="7.3698127200000005"/>
    <n v="1.2283021200000002"/>
    <n v="244.99"/>
    <n v="40.831666666666671"/>
    <n v="244.99"/>
    <n v="40.831666666666671"/>
    <n v="8.1663333333333341"/>
  </r>
  <r>
    <d v="2017-11-05T00:00:00"/>
    <s v="Seagate"/>
    <s v="Exos 7E8"/>
    <x v="0"/>
    <x v="0"/>
    <x v="2"/>
    <n v="7200"/>
    <n v="4.16"/>
    <m/>
    <n v="0.33333333333333326"/>
    <n v="249"/>
    <n v="5"/>
    <m/>
    <n v="550"/>
    <n v="2000000"/>
    <n v="1000000000000000"/>
    <m/>
    <n v="11"/>
    <n v="7.6"/>
    <n v="0.6"/>
    <n v="9.0725616000000002"/>
    <n v="1.1340702"/>
    <n v="289.99"/>
    <n v="36.248750000000001"/>
    <n v="289.99"/>
    <n v="36.248750000000001"/>
    <n v="7.2497500000000006"/>
  </r>
  <r>
    <d v="2017-10-19T00:00:00"/>
    <s v="Seagate"/>
    <s v="Exos X10"/>
    <x v="0"/>
    <x v="0"/>
    <x v="2"/>
    <n v="7200"/>
    <n v="4.16"/>
    <m/>
    <n v="0.33333333333333326"/>
    <n v="237"/>
    <n v="5"/>
    <n v="600000"/>
    <n v="550"/>
    <n v="2500000"/>
    <n v="1000000000000000"/>
    <n v="26.21"/>
    <n v="7.8"/>
    <n v="5"/>
    <n v="0.8"/>
    <n v="6.0922032000000002"/>
    <n v="0.76152540000000002"/>
    <n v="259.99"/>
    <n v="32.498750000000001"/>
    <n v="259.99"/>
    <n v="32.498750000000001"/>
    <n v="6.4997500000000006"/>
  </r>
  <r>
    <d v="2017-10-19T00:00:00"/>
    <s v="Seagate"/>
    <s v="Exos X10"/>
    <x v="0"/>
    <x v="0"/>
    <x v="3"/>
    <n v="7200"/>
    <n v="4.16"/>
    <m/>
    <n v="0.33333333333333326"/>
    <n v="237"/>
    <n v="5"/>
    <n v="600000"/>
    <n v="550"/>
    <n v="2500000"/>
    <n v="1000000000000000"/>
    <n v="26.18"/>
    <n v="7.8"/>
    <n v="5"/>
    <n v="0.8"/>
    <n v="6.0922032000000002"/>
    <n v="0.60922032000000004"/>
    <n v="364.99"/>
    <n v="36.499000000000002"/>
    <n v="364.99"/>
    <n v="36.499000000000002"/>
    <n v="7.2998000000000003"/>
  </r>
  <r>
    <d v="2017-10-19T00:00:00"/>
    <s v="Seagate"/>
    <s v="Exos X12"/>
    <x v="0"/>
    <x v="0"/>
    <x v="10"/>
    <n v="7200"/>
    <n v="4.16"/>
    <m/>
    <n v="0.33333333333333326"/>
    <n v="261"/>
    <n v="5"/>
    <n v="600000"/>
    <n v="550"/>
    <n v="2500000"/>
    <n v="1000000000000000"/>
    <n v="25.318000000000001"/>
    <n v="7.8"/>
    <n v="5"/>
    <n v="1.1499999999999999"/>
    <n v="6.0922032000000002"/>
    <n v="0.50768360000000001"/>
    <n v="489.22"/>
    <n v="40.768333333333338"/>
    <n v="489.22"/>
    <n v="40.768333333333338"/>
    <n v="8.153666666666668"/>
  </r>
  <r>
    <d v="2017-11-05T00:00:00"/>
    <s v="Seagate"/>
    <s v="FireCuda SSHD"/>
    <x v="1"/>
    <x v="0"/>
    <x v="4"/>
    <n v="7200"/>
    <m/>
    <m/>
    <n v="0.33333333333333326"/>
    <m/>
    <n v="5"/>
    <m/>
    <m/>
    <m/>
    <m/>
    <n v="24"/>
    <n v="5.9"/>
    <n v="4.5"/>
    <n v="0.63"/>
    <n v="5.2375416000000001"/>
    <n v="5.2375416000000001"/>
    <n v="87.22"/>
    <n v="87.22"/>
    <n v="87.22"/>
    <n v="87.22"/>
    <n v="17.443999999999999"/>
  </r>
  <r>
    <d v="2017-11-05T00:00:00"/>
    <s v="Seagate"/>
    <s v="FireCuda SSHD"/>
    <x v="1"/>
    <x v="0"/>
    <x v="5"/>
    <n v="7200"/>
    <m/>
    <m/>
    <n v="0.33333333333333326"/>
    <m/>
    <n v="5"/>
    <m/>
    <m/>
    <m/>
    <m/>
    <n v="24"/>
    <n v="6.7"/>
    <n v="3.36"/>
    <n v="0.75"/>
    <n v="4.4135601600000003"/>
    <n v="2.2067800800000001"/>
    <n v="113.7"/>
    <n v="56.85"/>
    <n v="113.7"/>
    <n v="56.85"/>
    <n v="11.370000000000001"/>
  </r>
  <r>
    <d v="2017-11-05T00:00:00"/>
    <s v="Seagate"/>
    <s v="FireCuda SSHD"/>
    <x v="1"/>
    <x v="1"/>
    <x v="4"/>
    <n v="5400"/>
    <m/>
    <m/>
    <n v="0"/>
    <m/>
    <n v="5"/>
    <m/>
    <m/>
    <m/>
    <m/>
    <n v="5"/>
    <n v="1.7"/>
    <n v="1.45"/>
    <m/>
    <n v="1.64358"/>
    <n v="1.64358"/>
    <n v="68.319999999999993"/>
    <n v="68.319999999999993"/>
    <n v="68.319999999999993"/>
    <n v="68.319999999999993"/>
    <n v="13.663999999999998"/>
  </r>
  <r>
    <d v="2017-11-05T00:00:00"/>
    <s v="Seagate"/>
    <s v="FireCuda SSHD"/>
    <x v="1"/>
    <x v="1"/>
    <x v="5"/>
    <n v="5400"/>
    <m/>
    <m/>
    <n v="0"/>
    <m/>
    <n v="5"/>
    <m/>
    <m/>
    <m/>
    <m/>
    <n v="5"/>
    <n v="1.8"/>
    <n v="1.5"/>
    <m/>
    <n v="1.7093232"/>
    <n v="0.85466160000000002"/>
    <n v="112.56"/>
    <n v="56.28"/>
    <n v="112.56"/>
    <n v="56.28"/>
    <n v="11.256"/>
  </r>
  <r>
    <d v="2017-10-29T00:00:00"/>
    <s v="Seagate"/>
    <s v="IronWolf"/>
    <x v="0"/>
    <x v="0"/>
    <x v="4"/>
    <n v="5900"/>
    <n v="5.0999999999999996"/>
    <n v="11.99"/>
    <n v="9.259259259259256E-2"/>
    <n v="180"/>
    <n v="3"/>
    <n v="600000"/>
    <n v="180"/>
    <n v="1000000"/>
    <n v="100000000000000"/>
    <n v="14.399999999999999"/>
    <n v="3.76"/>
    <n v="2.5"/>
    <n v="0.8"/>
    <n v="3.0154214399999999"/>
    <n v="3.0154214399999999"/>
    <n v="56.691000000000003"/>
    <n v="56.691000000000003"/>
    <n v="69.163020000000003"/>
    <n v="69.163020000000003"/>
    <n v="13.832604"/>
  </r>
  <r>
    <d v="2017-11-08T00:00:00"/>
    <s v="Seagate"/>
    <s v="IronWolf"/>
    <x v="0"/>
    <x v="0"/>
    <x v="5"/>
    <n v="5900"/>
    <n v="5.0999999999999996"/>
    <n v="11.99"/>
    <n v="9.259259259259256E-2"/>
    <n v="180"/>
    <n v="3"/>
    <n v="600000"/>
    <n v="180"/>
    <n v="1000000"/>
    <n v="100000000000000"/>
    <n v="24"/>
    <n v="4.3"/>
    <n v="3.56"/>
    <n v="0.8"/>
    <n v="4.0629297600000003"/>
    <n v="2.0314648800000001"/>
    <n v="74.989999999999995"/>
    <n v="37.494999999999997"/>
    <n v="91.487799999999993"/>
    <n v="45.743899999999996"/>
    <n v="9.1487799999999986"/>
  </r>
  <r>
    <d v="2017-10-11T00:00:00"/>
    <s v="Seagate"/>
    <s v="IronWolf"/>
    <x v="0"/>
    <x v="0"/>
    <x v="12"/>
    <n v="5900"/>
    <n v="5.0999999999999996"/>
    <n v="11.99"/>
    <n v="9.259259259259256E-2"/>
    <n v="180"/>
    <n v="3"/>
    <n v="600000"/>
    <n v="180"/>
    <n v="1000000"/>
    <n v="100000000000000"/>
    <n v="24"/>
    <n v="4.8"/>
    <n v="4.8"/>
    <n v="0.6"/>
    <n v="5.2594560000000001"/>
    <n v="1.753152"/>
    <n v="107.99"/>
    <n v="35.996666666666663"/>
    <n v="131.74779999999998"/>
    <n v="43.915933333333328"/>
    <n v="8.7831866666666656"/>
  </r>
  <r>
    <d v="2017-10-31T00:00:00"/>
    <s v="Seagate"/>
    <s v="IronWolf"/>
    <x v="0"/>
    <x v="0"/>
    <x v="0"/>
    <n v="5900"/>
    <n v="5.0999999999999996"/>
    <n v="9.5"/>
    <n v="9.259259259259256E-2"/>
    <n v="180"/>
    <n v="3"/>
    <n v="600000"/>
    <n v="180"/>
    <n v="1000000"/>
    <n v="100000000000000"/>
    <n v="21.6"/>
    <n v="4.8"/>
    <n v="3.95"/>
    <n v="0.5"/>
    <n v="4.5143664000000001"/>
    <n v="1.1285916"/>
    <n v="119.99"/>
    <n v="29.997499999999999"/>
    <n v="146.3878"/>
    <n v="36.59695"/>
    <n v="7.3193900000000003"/>
  </r>
  <r>
    <d v="2017-10-11T00:00:00"/>
    <s v="Seagate"/>
    <s v="IronWolf"/>
    <x v="0"/>
    <x v="0"/>
    <x v="1"/>
    <n v="7200"/>
    <n v="4"/>
    <n v="9.5"/>
    <n v="0.33333333333333326"/>
    <n v="210"/>
    <n v="3"/>
    <n v="600000"/>
    <n v="180"/>
    <n v="1000000"/>
    <n v="1000000000000000"/>
    <n v="21.6"/>
    <n v="8.1"/>
    <n v="7.2"/>
    <n v="0.6"/>
    <n v="8.0864136000000002"/>
    <n v="1.3477356"/>
    <n v="203.99"/>
    <n v="33.998333333333335"/>
    <n v="248.86780000000002"/>
    <n v="41.477966666666667"/>
    <n v="8.2955933333333327"/>
  </r>
  <r>
    <d v="2017-10-11T00:00:00"/>
    <s v="Seagate"/>
    <s v="IronWolf"/>
    <x v="0"/>
    <x v="0"/>
    <x v="2"/>
    <n v="7200"/>
    <n v="4"/>
    <n v="9.5"/>
    <n v="0.33333333333333326"/>
    <n v="210"/>
    <n v="3"/>
    <n v="600000"/>
    <n v="180"/>
    <n v="1000000"/>
    <n v="1000000000000000"/>
    <n v="21.6"/>
    <n v="8.8000000000000007"/>
    <n v="7.6"/>
    <n v="0.6"/>
    <n v="8.5904448000000002"/>
    <n v="1.0738056"/>
    <n v="269.97000000000003"/>
    <n v="33.746250000000003"/>
    <n v="329.36340000000001"/>
    <n v="41.170425000000002"/>
    <n v="8.2340850000000003"/>
  </r>
  <r>
    <d v="2017-10-11T00:00:00"/>
    <s v="Seagate"/>
    <s v="IronWolf"/>
    <x v="0"/>
    <x v="0"/>
    <x v="3"/>
    <n v="7200"/>
    <m/>
    <m/>
    <n v="0.33333333333333326"/>
    <n v="210"/>
    <n v="3"/>
    <n v="600000"/>
    <n v="180"/>
    <n v="1000000"/>
    <n v="1000000000000000"/>
    <n v="21.6"/>
    <n v="7.8"/>
    <n v="5"/>
    <n v="0.8"/>
    <n v="6.0922032000000002"/>
    <n v="0.60922032000000004"/>
    <n v="329.99"/>
    <n v="32.999000000000002"/>
    <n v="402.58780000000002"/>
    <n v="40.258780000000002"/>
    <n v="8.051756000000001"/>
  </r>
  <r>
    <d v="2017-11-05T00:00:00"/>
    <s v="Seagate"/>
    <s v="IronWolf"/>
    <x v="0"/>
    <x v="0"/>
    <x v="10"/>
    <n v="7200"/>
    <n v="4.16"/>
    <m/>
    <n v="0.33333333333333326"/>
    <n v="210"/>
    <n v="3"/>
    <n v="600000"/>
    <n v="180"/>
    <n v="1000000"/>
    <n v="1000000000000000"/>
    <n v="21.6"/>
    <n v="7.8"/>
    <n v="5"/>
    <n v="0.8"/>
    <n v="6.0922032000000002"/>
    <n v="0.50768360000000001"/>
    <n v="472.49"/>
    <n v="39.374166666666667"/>
    <n v="472.49"/>
    <n v="39.374166666666667"/>
    <n v="7.8748333333333331"/>
  </r>
  <r>
    <d v="2017-11-05T00:00:00"/>
    <s v="Seagate"/>
    <s v="IronWolf Pro"/>
    <x v="0"/>
    <x v="0"/>
    <x v="5"/>
    <n v="7200"/>
    <n v="4.16"/>
    <m/>
    <n v="0.33333333333333326"/>
    <n v="195"/>
    <n v="5"/>
    <m/>
    <n v="300"/>
    <n v="1200000"/>
    <n v="1000000000000000"/>
    <n v="24"/>
    <n v="6.5"/>
    <n v="4.6100000000000003"/>
    <n v="0.8"/>
    <n v="5.4654513600000012"/>
    <n v="2.7327256800000006"/>
    <n v="151.9"/>
    <n v="75.95"/>
    <n v="151.9"/>
    <n v="75.95"/>
    <n v="15.190000000000001"/>
  </r>
  <r>
    <d v="2017-11-05T00:00:00"/>
    <s v="Seagate"/>
    <s v="IronWolf Pro"/>
    <x v="0"/>
    <x v="0"/>
    <x v="0"/>
    <n v="7200"/>
    <n v="4.16"/>
    <m/>
    <n v="0.33333333333333326"/>
    <n v="214"/>
    <n v="5"/>
    <m/>
    <n v="300"/>
    <n v="1200000"/>
    <n v="1000000000000000"/>
    <n v="24"/>
    <n v="8.5"/>
    <n v="5.45"/>
    <n v="0.6"/>
    <n v="6.6400632000000002"/>
    <n v="1.6600158"/>
    <n v="204.9"/>
    <n v="51.225000000000001"/>
    <n v="204.9"/>
    <n v="51.225000000000001"/>
    <n v="10.245000000000001"/>
  </r>
  <r>
    <d v="2017-11-05T00:00:00"/>
    <s v="Seagate"/>
    <s v="IronWolf Pro"/>
    <x v="0"/>
    <x v="0"/>
    <x v="1"/>
    <n v="7200"/>
    <n v="4.16"/>
    <m/>
    <n v="0.33333333333333326"/>
    <n v="214"/>
    <n v="5"/>
    <m/>
    <n v="300"/>
    <n v="1200000"/>
    <n v="1000000000000000"/>
    <n v="24"/>
    <n v="8.1"/>
    <n v="7.5"/>
    <n v="0.6"/>
    <n v="8.3493864000000002"/>
    <n v="1.3915644"/>
    <n v="267.81"/>
    <n v="44.634999999999998"/>
    <n v="267.81"/>
    <n v="44.634999999999998"/>
    <n v="8.9269999999999996"/>
  </r>
  <r>
    <d v="2017-09-03T00:00:00"/>
    <s v="Seagate"/>
    <s v="IronWolf Pro"/>
    <x v="0"/>
    <x v="0"/>
    <x v="2"/>
    <n v="7200"/>
    <n v="4.16"/>
    <m/>
    <n v="0.33333333333333326"/>
    <n v="214"/>
    <n v="5"/>
    <m/>
    <n v="300"/>
    <n v="1200000"/>
    <n v="1000000000000000"/>
    <n v="24"/>
    <n v="7.4"/>
    <n v="4.4000000000000004"/>
    <n v="0.8"/>
    <n v="5.478600000000001"/>
    <n v="0.68482500000000013"/>
    <n v="349.99"/>
    <n v="43.748750000000001"/>
    <n v="349.99"/>
    <n v="43.748750000000001"/>
    <n v="8.7497500000000006"/>
  </r>
  <r>
    <d v="2017-10-11T00:00:00"/>
    <s v="Seagate"/>
    <s v="IronWolf Pro"/>
    <x v="0"/>
    <x v="0"/>
    <x v="3"/>
    <n v="7200"/>
    <n v="4.16"/>
    <m/>
    <n v="0.33333333333333326"/>
    <n v="214"/>
    <n v="5"/>
    <m/>
    <n v="300"/>
    <n v="1200000"/>
    <n v="1000000000000000"/>
    <n v="24"/>
    <n v="7.4"/>
    <n v="5"/>
    <n v="0.8"/>
    <n v="6.0045456000000001"/>
    <n v="0.60045455999999997"/>
    <n v="421.17"/>
    <n v="42.117000000000004"/>
    <n v="421.17"/>
    <n v="42.117000000000004"/>
    <n v="8.4234000000000009"/>
  </r>
  <r>
    <d v="2017-11-05T00:00:00"/>
    <s v="Seagate"/>
    <s v="IronWolf Pro"/>
    <x v="0"/>
    <x v="0"/>
    <x v="10"/>
    <n v="7200"/>
    <n v="4.16"/>
    <m/>
    <n v="0.33333333333333326"/>
    <m/>
    <n v="5"/>
    <m/>
    <n v="300"/>
    <n v="1200000"/>
    <n v="1000000000000000"/>
    <n v="24"/>
    <n v="7.8"/>
    <n v="5"/>
    <n v="0.8"/>
    <n v="6.0922032000000002"/>
    <n v="0.50768360000000001"/>
    <n v="509.99"/>
    <n v="42.499166666666667"/>
    <n v="509.99"/>
    <n v="42.499166666666667"/>
    <n v="8.4998333333333331"/>
  </r>
  <r>
    <d v="2017-11-07T00:00:00"/>
    <s v="Seagate"/>
    <s v="Terascale"/>
    <x v="0"/>
    <x v="0"/>
    <x v="0"/>
    <n v="5900"/>
    <n v="5.0999999999999996"/>
    <n v="16"/>
    <n v="9.259259259259256E-2"/>
    <n v="140"/>
    <n v="3"/>
    <n v="300000"/>
    <n v="180"/>
    <n v="800000"/>
    <n v="100000000000000"/>
    <n v="24"/>
    <n v="6.49"/>
    <n v="4.59"/>
    <n v="0.77"/>
    <n v="5.4457284000000001"/>
    <n v="1.3614321"/>
    <n v="189.99"/>
    <n v="47.497500000000002"/>
    <n v="231.7878"/>
    <n v="57.946950000000001"/>
    <n v="11.58939"/>
  </r>
  <r>
    <d v="2017-11-05T00:00:00"/>
    <s v="Toshiba"/>
    <s v="Enterprise Capacity"/>
    <x v="0"/>
    <x v="0"/>
    <x v="1"/>
    <n v="7200"/>
    <m/>
    <n v="8.5"/>
    <n v="0.33333333333333326"/>
    <n v="230"/>
    <n v="5"/>
    <n v="600000"/>
    <n v="550"/>
    <n v="2500000"/>
    <n v="1E+16"/>
    <m/>
    <n v="8.3000000000000007"/>
    <n v="5.6"/>
    <m/>
    <n v="6.7277208000000002"/>
    <n v="1.1212868"/>
    <n v="272.17"/>
    <n v="45.361666666666672"/>
    <n v="272.17"/>
    <n v="45.361666666666672"/>
    <n v="9.0723333333333347"/>
  </r>
  <r>
    <d v="2017-11-05T00:00:00"/>
    <s v="Toshiba"/>
    <s v="Enterprise Capacity"/>
    <x v="0"/>
    <x v="0"/>
    <x v="2"/>
    <n v="7200"/>
    <m/>
    <n v="8.5"/>
    <n v="0.33333333333333326"/>
    <n v="230"/>
    <n v="5"/>
    <n v="600000"/>
    <n v="550"/>
    <n v="2500000"/>
    <n v="1E+16"/>
    <m/>
    <n v="9.1"/>
    <n v="6.4"/>
    <m/>
    <n v="7.6042968000000002"/>
    <n v="0.95053710000000002"/>
    <n v="340.82"/>
    <n v="42.602499999999999"/>
    <n v="340.82"/>
    <n v="42.602499999999999"/>
    <n v="8.5205000000000002"/>
  </r>
  <r>
    <d v="2017-11-05T00:00:00"/>
    <s v="Toshiba"/>
    <s v="Enterprise Capacity"/>
    <x v="0"/>
    <x v="0"/>
    <x v="3"/>
    <n v="7200"/>
    <m/>
    <n v="8.5"/>
    <n v="0.33333333333333326"/>
    <n v="237"/>
    <n v="5"/>
    <n v="600000"/>
    <n v="550"/>
    <n v="2500000"/>
    <n v="1E+16"/>
    <m/>
    <n v="10"/>
    <n v="7.3"/>
    <m/>
    <n v="8.5904448000000002"/>
    <n v="0.85904448"/>
    <m/>
    <n v="0"/>
    <n v="0"/>
    <n v="0"/>
    <n v="0"/>
  </r>
  <r>
    <d v="2017-11-05T00:00:00"/>
    <s v="Toshiba"/>
    <s v="Enterprise Performance"/>
    <x v="0"/>
    <x v="1"/>
    <x v="8"/>
    <n v="10500"/>
    <n v="2.86"/>
    <n v="4"/>
    <n v="0.94444444444444442"/>
    <n v="226"/>
    <n v="5"/>
    <m/>
    <m/>
    <n v="2000000"/>
    <n v="1E+17"/>
    <m/>
    <n v="8.6999999999999993"/>
    <n v="4"/>
    <m/>
    <n v="5.4128568000000001"/>
    <n v="3.0071426666666667"/>
    <n v="349"/>
    <n v="193.88888888888889"/>
    <n v="349"/>
    <n v="193.88888888888889"/>
    <n v="38.777777777777779"/>
  </r>
  <r>
    <d v="2017-11-05T00:00:00"/>
    <s v="Toshiba"/>
    <s v="Enterprise Performance"/>
    <x v="0"/>
    <x v="1"/>
    <x v="14"/>
    <n v="15000"/>
    <n v="2"/>
    <n v="2.9"/>
    <n v="1.7777777777777777"/>
    <n v="259"/>
    <n v="5"/>
    <n v="600000"/>
    <m/>
    <n v="2000000"/>
    <n v="1E+17"/>
    <m/>
    <n v="9"/>
    <n v="5.6"/>
    <m/>
    <n v="6.8811216000000002"/>
    <n v="7.6456906666666669"/>
    <n v="194.39"/>
    <n v="215.98888888888888"/>
    <n v="194.39"/>
    <n v="215.98888888888888"/>
    <n v="43.197777777777773"/>
  </r>
  <r>
    <d v="2017-11-07T00:00:00"/>
    <s v="Toshiba"/>
    <s v="N300"/>
    <x v="0"/>
    <x v="0"/>
    <x v="0"/>
    <n v="7200"/>
    <n v="4.17"/>
    <m/>
    <n v="0.33333333333333326"/>
    <n v="200"/>
    <n v="3"/>
    <m/>
    <n v="180"/>
    <n v="1000000"/>
    <n v="100000000000000"/>
    <m/>
    <n v="9.6"/>
    <n v="5.2"/>
    <m/>
    <n v="6.6619776000000011"/>
    <n v="1.6654944000000003"/>
    <n v="139.99"/>
    <n v="34.997500000000002"/>
    <n v="170.7878"/>
    <n v="42.696950000000001"/>
    <n v="8.5393900000000009"/>
  </r>
  <r>
    <d v="2017-11-07T00:00:00"/>
    <s v="Toshiba"/>
    <s v="N300"/>
    <x v="0"/>
    <x v="0"/>
    <x v="1"/>
    <n v="7200"/>
    <n v="4.17"/>
    <m/>
    <n v="0.33333333333333326"/>
    <n v="210"/>
    <n v="3"/>
    <m/>
    <n v="180"/>
    <n v="1000000"/>
    <n v="100000000000000"/>
    <m/>
    <n v="10.1"/>
    <n v="6.7"/>
    <m/>
    <n v="8.0864136000000002"/>
    <n v="1.3477356"/>
    <n v="219.99"/>
    <n v="36.664999999999999"/>
    <n v="268.38780000000003"/>
    <n v="44.731300000000005"/>
    <n v="8.9462600000000005"/>
  </r>
  <r>
    <d v="2017-11-07T00:00:00"/>
    <s v="Toshiba"/>
    <s v="N300"/>
    <x v="0"/>
    <x v="0"/>
    <x v="2"/>
    <n v="7200"/>
    <n v="4.17"/>
    <m/>
    <n v="0.33333333333333326"/>
    <n v="240"/>
    <n v="3"/>
    <m/>
    <n v="180"/>
    <n v="1000000"/>
    <n v="100000000000000"/>
    <m/>
    <n v="9.1999999999999993"/>
    <n v="6.2"/>
    <m/>
    <n v="7.4508960000000002"/>
    <n v="0.93136200000000002"/>
    <n v="229.99"/>
    <n v="28.748750000000001"/>
    <n v="280.58780000000002"/>
    <n v="35.073475000000002"/>
    <n v="7.0146950000000006"/>
  </r>
  <r>
    <d v="2017-10-11T00:00:00"/>
    <s v="Toshiba"/>
    <s v="P300"/>
    <x v="1"/>
    <x v="0"/>
    <x v="4"/>
    <n v="7200"/>
    <n v="4.17"/>
    <m/>
    <n v="0.33333333333333326"/>
    <m/>
    <n v="2"/>
    <m/>
    <m/>
    <m/>
    <m/>
    <m/>
    <m/>
    <m/>
    <m/>
    <m/>
    <m/>
    <n v="49.99"/>
    <n v="49.99"/>
    <n v="66.486699999999999"/>
    <n v="66.486699999999999"/>
    <n v="13.29734"/>
  </r>
  <r>
    <d v="2017-10-07T00:00:00"/>
    <s v="Toshiba"/>
    <s v="P300"/>
    <x v="1"/>
    <x v="0"/>
    <x v="5"/>
    <n v="7200"/>
    <n v="4.17"/>
    <m/>
    <n v="0.33333333333333326"/>
    <m/>
    <n v="2"/>
    <m/>
    <m/>
    <m/>
    <m/>
    <m/>
    <m/>
    <m/>
    <m/>
    <m/>
    <m/>
    <n v="71.989999999999995"/>
    <n v="35.994999999999997"/>
    <n v="95.74669999999999"/>
    <n v="47.873349999999995"/>
    <n v="9.5746699999999993"/>
  </r>
  <r>
    <d v="2017-11-04T00:00:00"/>
    <s v="Toshiba"/>
    <s v="P300"/>
    <x v="1"/>
    <x v="0"/>
    <x v="12"/>
    <n v="7200"/>
    <n v="4.17"/>
    <m/>
    <n v="0.33333333333333326"/>
    <m/>
    <n v="2"/>
    <m/>
    <m/>
    <m/>
    <m/>
    <m/>
    <m/>
    <m/>
    <m/>
    <m/>
    <m/>
    <n v="69.989999999999995"/>
    <n v="23.33"/>
    <n v="93.086699999999993"/>
    <n v="31.028899999999997"/>
    <n v="6.205779999999999"/>
  </r>
  <r>
    <d v="2017-10-11T00:00:00"/>
    <s v="Toshiba"/>
    <s v="X300"/>
    <x v="1"/>
    <x v="0"/>
    <x v="0"/>
    <n v="7200"/>
    <n v="4.17"/>
    <m/>
    <n v="0.33333333333333326"/>
    <m/>
    <n v="2"/>
    <m/>
    <m/>
    <m/>
    <m/>
    <m/>
    <m/>
    <m/>
    <m/>
    <m/>
    <m/>
    <n v="129.99"/>
    <n v="32.497500000000002"/>
    <n v="172.88670000000002"/>
    <n v="43.221675000000005"/>
    <n v="8.6443350000000017"/>
  </r>
  <r>
    <d v="2017-10-11T00:00:00"/>
    <s v="Toshiba"/>
    <s v="X300"/>
    <x v="1"/>
    <x v="0"/>
    <x v="6"/>
    <n v="7200"/>
    <n v="4.17"/>
    <m/>
    <n v="0.33333333333333326"/>
    <m/>
    <n v="2"/>
    <m/>
    <m/>
    <m/>
    <m/>
    <m/>
    <m/>
    <m/>
    <m/>
    <m/>
    <m/>
    <n v="141.97"/>
    <n v="28.393999999999998"/>
    <n v="188.8201"/>
    <n v="37.764020000000002"/>
    <n v="7.5528040000000001"/>
  </r>
  <r>
    <d v="2017-10-29T00:00:00"/>
    <s v="Toshiba"/>
    <s v="X300"/>
    <x v="1"/>
    <x v="0"/>
    <x v="1"/>
    <n v="7200"/>
    <n v="4.17"/>
    <m/>
    <n v="0.33333333333333326"/>
    <m/>
    <n v="2"/>
    <m/>
    <m/>
    <m/>
    <m/>
    <m/>
    <m/>
    <m/>
    <m/>
    <m/>
    <m/>
    <n v="169.99"/>
    <n v="28.331666666666667"/>
    <n v="226.08670000000001"/>
    <n v="37.681116666666668"/>
    <n v="7.5362233333333339"/>
  </r>
  <r>
    <d v="2017-10-11T00:00:00"/>
    <s v="Toshiba"/>
    <s v="X300"/>
    <x v="1"/>
    <x v="0"/>
    <x v="2"/>
    <n v="7200"/>
    <n v="4.17"/>
    <m/>
    <n v="0.33333333333333326"/>
    <m/>
    <n v="2"/>
    <m/>
    <m/>
    <m/>
    <m/>
    <m/>
    <m/>
    <m/>
    <m/>
    <m/>
    <m/>
    <n v="254.99"/>
    <n v="31.873750000000001"/>
    <n v="339.13670000000002"/>
    <n v="42.392087500000002"/>
    <n v="8.4784175000000008"/>
  </r>
  <r>
    <d v="2017-11-07T00:00:00"/>
    <s v="WD"/>
    <s v="Ae"/>
    <x v="0"/>
    <x v="0"/>
    <x v="1"/>
    <n v="5760"/>
    <m/>
    <m/>
    <n v="6.6666666666666652E-2"/>
    <n v="150"/>
    <n v="3"/>
    <n v="300000"/>
    <m/>
    <n v="500000"/>
    <n v="100000000000000"/>
    <m/>
    <n v="6.5"/>
    <n v="4.8"/>
    <m/>
    <n v="5.6320008000000001"/>
    <n v="0.93866680000000002"/>
    <n v="159.99"/>
    <n v="26.665000000000003"/>
    <n v="195.18780000000001"/>
    <n v="32.531300000000002"/>
    <n v="6.5062600000000002"/>
  </r>
  <r>
    <d v="2017-11-02T00:00:00"/>
    <s v="WD"/>
    <s v="Black"/>
    <x v="1"/>
    <x v="1"/>
    <x v="4"/>
    <n v="7200"/>
    <m/>
    <m/>
    <n v="0.33333333333333326"/>
    <m/>
    <n v="5"/>
    <n v="600000"/>
    <m/>
    <m/>
    <n v="100000000000000"/>
    <n v="5.5"/>
    <n v="1.8"/>
    <n v="0.8"/>
    <n v="0.2"/>
    <n v="1.09572"/>
    <n v="1.09572"/>
    <n v="66.989999999999995"/>
    <n v="66.989999999999995"/>
    <n v="66.989999999999995"/>
    <n v="66.989999999999995"/>
    <n v="13.398"/>
  </r>
  <r>
    <d v="2017-10-21T00:00:00"/>
    <s v="WD"/>
    <s v="Black"/>
    <x v="1"/>
    <x v="0"/>
    <x v="4"/>
    <n v="7200"/>
    <m/>
    <m/>
    <n v="0.33333333333333326"/>
    <n v="150"/>
    <n v="5"/>
    <n v="300000"/>
    <m/>
    <m/>
    <n v="100000000000000"/>
    <m/>
    <n v="6.8"/>
    <n v="6.1"/>
    <n v="0.8"/>
    <n v="6.8372928000000002"/>
    <n v="6.8372928000000002"/>
    <n v="69.989999999999995"/>
    <n v="69.989999999999995"/>
    <n v="69.989999999999995"/>
    <n v="69.989999999999995"/>
    <n v="13.997999999999999"/>
  </r>
  <r>
    <d v="2017-11-08T00:00:00"/>
    <s v="WD"/>
    <s v="Black"/>
    <x v="1"/>
    <x v="0"/>
    <x v="5"/>
    <n v="7200"/>
    <m/>
    <m/>
    <n v="0.33333333333333326"/>
    <n v="164"/>
    <n v="5"/>
    <n v="300000"/>
    <m/>
    <m/>
    <n v="100000000000000"/>
    <m/>
    <n v="9.5"/>
    <n v="8.1"/>
    <n v="1.3"/>
    <n v="9.1821336000000002"/>
    <n v="4.5910668000000001"/>
    <n v="109.99"/>
    <n v="54.994999999999997"/>
    <n v="109.99"/>
    <n v="54.994999999999997"/>
    <n v="10.998999999999999"/>
  </r>
  <r>
    <d v="2017-10-19T00:00:00"/>
    <s v="WD"/>
    <s v="Black"/>
    <x v="1"/>
    <x v="0"/>
    <x v="0"/>
    <n v="7200"/>
    <m/>
    <m/>
    <n v="0.33333333333333326"/>
    <n v="202"/>
    <n v="5"/>
    <n v="300000"/>
    <m/>
    <m/>
    <n v="100000000000000"/>
    <m/>
    <n v="9.1"/>
    <n v="5.8"/>
    <n v="1"/>
    <n v="7.0783512000000002"/>
    <n v="1.7695878"/>
    <n v="169.99"/>
    <n v="42.497500000000002"/>
    <n v="169.99"/>
    <n v="42.497500000000002"/>
    <n v="8.4995000000000012"/>
  </r>
  <r>
    <d v="2017-09-22T00:00:00"/>
    <s v="WD"/>
    <s v="Black"/>
    <x v="1"/>
    <x v="0"/>
    <x v="6"/>
    <n v="7200"/>
    <m/>
    <m/>
    <n v="0.33333333333333326"/>
    <n v="194"/>
    <n v="5"/>
    <n v="300000"/>
    <m/>
    <m/>
    <n v="100000000000000"/>
    <m/>
    <n v="10.6"/>
    <n v="7.6"/>
    <n v="1.6"/>
    <n v="8.9849040000000002"/>
    <n v="1.7969808"/>
    <n v="134.99"/>
    <n v="26.998000000000001"/>
    <n v="134.99"/>
    <n v="26.998000000000001"/>
    <n v="5.3996000000000004"/>
  </r>
  <r>
    <d v="2017-10-25T00:00:00"/>
    <s v="WD"/>
    <s v="Black"/>
    <x v="1"/>
    <x v="0"/>
    <x v="1"/>
    <n v="7200"/>
    <m/>
    <m/>
    <n v="0.33333333333333326"/>
    <n v="227"/>
    <n v="5"/>
    <n v="300000"/>
    <m/>
    <m/>
    <n v="100000000000000"/>
    <m/>
    <n v="9.1"/>
    <n v="7.1"/>
    <n v="1"/>
    <n v="8.2179000000000002"/>
    <n v="1.36965"/>
    <n v="219.99"/>
    <n v="36.664999999999999"/>
    <n v="219.99"/>
    <n v="36.664999999999999"/>
    <n v="7.3330000000000002"/>
  </r>
  <r>
    <d v="2017-11-07T00:00:00"/>
    <s v="WD"/>
    <s v="Blue"/>
    <x v="1"/>
    <x v="0"/>
    <x v="4"/>
    <n v="5400"/>
    <m/>
    <m/>
    <n v="0"/>
    <n v="150"/>
    <n v="2"/>
    <n v="300000"/>
    <m/>
    <m/>
    <n v="100000000000000"/>
    <m/>
    <m/>
    <m/>
    <m/>
    <m/>
    <m/>
    <n v="44.99"/>
    <n v="44.99"/>
    <n v="59.8367"/>
    <n v="59.8367"/>
    <n v="11.96734"/>
  </r>
  <r>
    <d v="2017-11-04T00:00:00"/>
    <s v="WD"/>
    <s v="Blue"/>
    <x v="1"/>
    <x v="0"/>
    <x v="5"/>
    <n v="5400"/>
    <m/>
    <m/>
    <n v="0"/>
    <n v="147"/>
    <n v="2"/>
    <n v="300000"/>
    <m/>
    <m/>
    <n v="100000000000000"/>
    <n v="20.759999999999998"/>
    <n v="4.0999999999999996"/>
    <n v="3"/>
    <n v="0.4"/>
    <n v="3.5282184000000001"/>
    <n v="1.7641092"/>
    <n v="59.99"/>
    <n v="29.995000000000001"/>
    <n v="79.786699999999996"/>
    <n v="39.893349999999998"/>
    <n v="7.9786699999999993"/>
  </r>
  <r>
    <d v="2017-10-25T00:00:00"/>
    <s v="WD"/>
    <s v="Blue"/>
    <x v="1"/>
    <x v="0"/>
    <x v="12"/>
    <n v="5400"/>
    <m/>
    <m/>
    <n v="0"/>
    <n v="147"/>
    <n v="2"/>
    <n v="300000"/>
    <m/>
    <m/>
    <n v="100000000000000"/>
    <n v="20.759999999999998"/>
    <n v="4.0999999999999996"/>
    <n v="3"/>
    <n v="0.4"/>
    <n v="3.5282184000000001"/>
    <n v="1.1760728"/>
    <n v="79.989999999999995"/>
    <n v="26.66333333333333"/>
    <n v="106.38669999999999"/>
    <n v="35.46223333333333"/>
    <n v="7.0924466666666657"/>
  </r>
  <r>
    <d v="2017-11-14T00:00:00"/>
    <s v="WD"/>
    <s v="Blue"/>
    <x v="1"/>
    <x v="0"/>
    <x v="0"/>
    <n v="5400"/>
    <m/>
    <m/>
    <n v="0"/>
    <n v="150"/>
    <n v="2"/>
    <n v="300000"/>
    <m/>
    <m/>
    <n v="100000000000000"/>
    <n v="21"/>
    <n v="5.3"/>
    <n v="3.4"/>
    <n v="0.4"/>
    <n v="4.1418216000000001"/>
    <n v="1.0354554"/>
    <n v="99.99"/>
    <n v="24.997499999999999"/>
    <n v="132.98669999999998"/>
    <n v="33.246674999999996"/>
    <n v="6.6493349999999989"/>
  </r>
  <r>
    <d v="2017-08-13T00:00:00"/>
    <s v="WD"/>
    <s v="Blue"/>
    <x v="1"/>
    <x v="0"/>
    <x v="6"/>
    <n v="5400"/>
    <m/>
    <m/>
    <n v="0"/>
    <n v="170"/>
    <n v="2"/>
    <n v="300000"/>
    <m/>
    <m/>
    <n v="100000000000000"/>
    <n v="21"/>
    <n v="5.3"/>
    <n v="3.4"/>
    <n v="0.4"/>
    <n v="4.1418216000000001"/>
    <n v="0.82836432000000004"/>
    <n v="235.89"/>
    <n v="47.177999999999997"/>
    <n v="313.7337"/>
    <n v="62.746740000000003"/>
    <n v="12.549348"/>
  </r>
  <r>
    <d v="2017-10-11T00:00:00"/>
    <s v="WD"/>
    <s v="Blue"/>
    <x v="1"/>
    <x v="0"/>
    <x v="1"/>
    <n v="5400"/>
    <m/>
    <m/>
    <n v="0"/>
    <n v="175"/>
    <n v="2"/>
    <n v="300000"/>
    <m/>
    <m/>
    <n v="100000000000000"/>
    <n v="21"/>
    <n v="5.3"/>
    <n v="3.4"/>
    <n v="0.4"/>
    <n v="4.1418216000000001"/>
    <n v="0.69030360000000002"/>
    <n v="196.99"/>
    <n v="32.831666666666671"/>
    <n v="261.99670000000003"/>
    <n v="43.666116666666674"/>
    <n v="8.7332233333333349"/>
  </r>
  <r>
    <d v="2017-10-25T00:00:00"/>
    <s v="WD"/>
    <s v="Blue"/>
    <x v="1"/>
    <x v="1"/>
    <x v="4"/>
    <n v="5400"/>
    <m/>
    <m/>
    <n v="0"/>
    <m/>
    <n v="2"/>
    <n v="600000"/>
    <m/>
    <m/>
    <n v="100000000000000"/>
    <n v="5"/>
    <n v="1.5"/>
    <n v="0.5"/>
    <n v="0.1"/>
    <n v="0.76700400000000002"/>
    <n v="0.76700400000000002"/>
    <n v="44.99"/>
    <n v="44.99"/>
    <n v="59.8367"/>
    <n v="59.8367"/>
    <n v="11.96734"/>
  </r>
  <r>
    <d v="2017-08-13T00:00:00"/>
    <s v="WD"/>
    <s v="Blue"/>
    <x v="1"/>
    <x v="1"/>
    <x v="5"/>
    <n v="5400"/>
    <m/>
    <m/>
    <n v="0"/>
    <m/>
    <n v="2"/>
    <n v="600000"/>
    <m/>
    <m/>
    <n v="100000000000000"/>
    <n v="5"/>
    <n v="1.7"/>
    <n v="0.8"/>
    <n v="0.2"/>
    <n v="1.0738056"/>
    <n v="0.53690280000000001"/>
    <n v="141.99"/>
    <n v="70.995000000000005"/>
    <n v="188.8467"/>
    <n v="94.423349999999999"/>
    <n v="18.88467"/>
  </r>
  <r>
    <d v="2017-10-19T00:00:00"/>
    <s v="WD"/>
    <s v="Gold Enterprise"/>
    <x v="0"/>
    <x v="0"/>
    <x v="4"/>
    <n v="7200"/>
    <m/>
    <m/>
    <n v="0.33333333333333326"/>
    <n v="184"/>
    <n v="5"/>
    <n v="600000"/>
    <n v="550"/>
    <n v="2000000"/>
    <n v="1000000000000000"/>
    <m/>
    <n v="8.1"/>
    <n v="5.9"/>
    <m/>
    <n v="6.9468648000000002"/>
    <n v="6.9468648000000002"/>
    <n v="74.989999999999995"/>
    <n v="74.989999999999995"/>
    <n v="74.989999999999995"/>
    <n v="74.989999999999995"/>
    <n v="14.997999999999999"/>
  </r>
  <r>
    <d v="2017-10-29T00:00:00"/>
    <s v="WD"/>
    <s v="Gold Enterprise"/>
    <x v="0"/>
    <x v="0"/>
    <x v="5"/>
    <n v="7200"/>
    <m/>
    <m/>
    <n v="0.33333333333333326"/>
    <n v="200"/>
    <n v="5"/>
    <n v="600000"/>
    <n v="550"/>
    <n v="2000000"/>
    <n v="1000000000000000"/>
    <m/>
    <n v="8.1"/>
    <n v="5.9"/>
    <m/>
    <n v="6.9468648000000002"/>
    <n v="3.4734324000000001"/>
    <n v="119.99"/>
    <n v="59.994999999999997"/>
    <n v="119.99"/>
    <n v="59.994999999999997"/>
    <n v="11.998999999999999"/>
  </r>
  <r>
    <d v="2017-10-11T00:00:00"/>
    <s v="WD"/>
    <s v="Gold Enterprise"/>
    <x v="0"/>
    <x v="0"/>
    <x v="0"/>
    <n v="7200"/>
    <m/>
    <m/>
    <n v="0.33333333333333326"/>
    <n v="201"/>
    <n v="5"/>
    <n v="600000"/>
    <n v="550"/>
    <n v="2000000"/>
    <n v="1000000000000000"/>
    <m/>
    <n v="9"/>
    <n v="7"/>
    <m/>
    <n v="8.1083280000000002"/>
    <n v="2.0270820000000001"/>
    <n v="164"/>
    <n v="41"/>
    <n v="164"/>
    <n v="41"/>
    <n v="8.1999999999999993"/>
  </r>
  <r>
    <d v="2017-10-11T00:00:00"/>
    <s v="WD"/>
    <s v="Gold Enterprise"/>
    <x v="0"/>
    <x v="0"/>
    <x v="1"/>
    <n v="7200"/>
    <m/>
    <m/>
    <n v="0.33333333333333326"/>
    <n v="226"/>
    <n v="5"/>
    <n v="600000"/>
    <n v="550"/>
    <n v="2000000"/>
    <n v="1000000000000000"/>
    <m/>
    <n v="9.3000000000000007"/>
    <n v="7.1"/>
    <m/>
    <n v="8.2617288000000002"/>
    <n v="1.3769548"/>
    <n v="234.99"/>
    <n v="39.164999999999999"/>
    <n v="234.99"/>
    <n v="39.164999999999999"/>
    <n v="7.8330000000000002"/>
  </r>
  <r>
    <d v="2017-11-01T00:00:00"/>
    <s v="WD"/>
    <s v="Gold Enterprise"/>
    <x v="0"/>
    <x v="0"/>
    <x v="2"/>
    <n v="7200"/>
    <m/>
    <m/>
    <n v="0.33333333333333326"/>
    <n v="205"/>
    <n v="5"/>
    <n v="600000"/>
    <n v="550"/>
    <n v="2500000"/>
    <n v="1000000000000000"/>
    <m/>
    <n v="7.2"/>
    <n v="5.0999999999999996"/>
    <m/>
    <n v="6.0483743999999993"/>
    <n v="0.75604679999999991"/>
    <n v="339.99"/>
    <n v="42.498750000000001"/>
    <n v="339.99"/>
    <n v="42.498750000000001"/>
    <n v="8.4997500000000006"/>
  </r>
  <r>
    <d v="2017-11-01T00:00:00"/>
    <s v="WD"/>
    <s v="Gold Enterprise"/>
    <x v="0"/>
    <x v="0"/>
    <x v="3"/>
    <n v="7200"/>
    <m/>
    <m/>
    <n v="0.33333333333333326"/>
    <n v="249"/>
    <n v="5"/>
    <n v="600000"/>
    <n v="550"/>
    <n v="2500000"/>
    <n v="1000000000000000"/>
    <m/>
    <n v="7.1"/>
    <n v="5"/>
    <m/>
    <n v="5.9388024000000001"/>
    <n v="0.59388024000000006"/>
    <n v="409.99"/>
    <n v="40.999000000000002"/>
    <n v="409.99"/>
    <n v="40.999000000000002"/>
    <n v="8.1997999999999998"/>
  </r>
  <r>
    <d v="2017-10-11T00:00:00"/>
    <s v="WD"/>
    <s v="Gold Enterprise"/>
    <x v="0"/>
    <x v="0"/>
    <x v="10"/>
    <n v="7200"/>
    <n v="4.16"/>
    <m/>
    <n v="0.33333333333333326"/>
    <n v="255"/>
    <n v="5"/>
    <n v="600000"/>
    <n v="550"/>
    <n v="2500000"/>
    <n v="1000000000000000"/>
    <m/>
    <n v="7"/>
    <n v="5"/>
    <m/>
    <n v="5.9168880000000001"/>
    <n v="0.49307400000000001"/>
    <n v="539.99"/>
    <n v="44.999166666666667"/>
    <n v="539.99"/>
    <n v="44.999166666666667"/>
    <n v="8.9998333333333331"/>
  </r>
  <r>
    <d v="2017-08-14T00:00:00"/>
    <s v="WD"/>
    <s v="Red NAS"/>
    <x v="0"/>
    <x v="1"/>
    <x v="15"/>
    <n v="5400"/>
    <m/>
    <m/>
    <n v="0"/>
    <n v="144"/>
    <n v="3"/>
    <n v="600000"/>
    <n v="180"/>
    <n v="1000000"/>
    <n v="100000000000000"/>
    <n v="5"/>
    <n v="1.4"/>
    <n v="0.6"/>
    <n v="0.2"/>
    <n v="0.83274720000000002"/>
    <n v="1.1103296"/>
    <n v="54.99"/>
    <n v="73.320000000000007"/>
    <n v="67.087800000000001"/>
    <n v="89.450400000000002"/>
    <n v="17.890080000000001"/>
  </r>
  <r>
    <d v="2017-08-14T00:00:00"/>
    <s v="WD"/>
    <s v="Red NAS"/>
    <x v="0"/>
    <x v="1"/>
    <x v="4"/>
    <n v="5400"/>
    <m/>
    <m/>
    <n v="0"/>
    <n v="144"/>
    <n v="3"/>
    <n v="600000"/>
    <n v="180"/>
    <n v="1000000"/>
    <n v="100000000000000"/>
    <n v="5"/>
    <n v="1.4"/>
    <n v="0.6"/>
    <n v="0.2"/>
    <n v="0.83274720000000002"/>
    <n v="0.83274720000000002"/>
    <n v="72.989999999999995"/>
    <n v="72.989999999999995"/>
    <n v="89.047799999999995"/>
    <n v="89.047799999999995"/>
    <n v="17.809559999999998"/>
  </r>
  <r>
    <d v="2017-10-11T00:00:00"/>
    <s v="WD"/>
    <s v="Red NAS"/>
    <x v="0"/>
    <x v="0"/>
    <x v="4"/>
    <n v="5400"/>
    <m/>
    <m/>
    <n v="0"/>
    <n v="150"/>
    <n v="3"/>
    <n v="600000"/>
    <n v="180"/>
    <n v="1000000"/>
    <n v="100000000000000"/>
    <n v="14.399999999999999"/>
    <n v="3.3"/>
    <n v="2.2999999999999998"/>
    <n v="0.4"/>
    <n v="2.7393000000000001"/>
    <n v="2.7393000000000001"/>
    <n v="59.99"/>
    <n v="59.99"/>
    <n v="73.18780000000001"/>
    <n v="73.18780000000001"/>
    <n v="14.637560000000002"/>
  </r>
  <r>
    <d v="2017-10-11T00:00:00"/>
    <s v="WD"/>
    <s v="Red NAS"/>
    <x v="0"/>
    <x v="0"/>
    <x v="5"/>
    <n v="5400"/>
    <m/>
    <m/>
    <n v="0"/>
    <n v="147"/>
    <n v="3"/>
    <n v="600000"/>
    <n v="180"/>
    <n v="1000000"/>
    <n v="100000000000000"/>
    <n v="20.759999999999998"/>
    <n v="4.0999999999999996"/>
    <n v="2.7"/>
    <n v="0.4"/>
    <n v="3.2652456000000005"/>
    <n v="1.6326228000000003"/>
    <n v="84.99"/>
    <n v="42.494999999999997"/>
    <n v="103.6878"/>
    <n v="51.843899999999998"/>
    <n v="10.368779999999999"/>
  </r>
  <r>
    <d v="2017-11-07T00:00:00"/>
    <s v="WD"/>
    <s v="Red NAS"/>
    <x v="0"/>
    <x v="0"/>
    <x v="12"/>
    <n v="5400"/>
    <m/>
    <n v="8.9"/>
    <n v="0"/>
    <n v="147"/>
    <n v="3"/>
    <n v="600000"/>
    <n v="180"/>
    <n v="1000000"/>
    <n v="100000000000000"/>
    <n v="20.759999999999998"/>
    <n v="4.0999999999999996"/>
    <n v="2.7"/>
    <n v="0.4"/>
    <n v="3.2652456000000005"/>
    <n v="1.0884152000000002"/>
    <n v="95.99"/>
    <n v="31.996666666666666"/>
    <n v="117.1078"/>
    <n v="39.035933333333332"/>
    <n v="7.8071866666666665"/>
  </r>
  <r>
    <d v="2017-11-07T00:00:00"/>
    <s v="WD"/>
    <s v="Red NAS"/>
    <x v="0"/>
    <x v="0"/>
    <x v="0"/>
    <n v="5400"/>
    <m/>
    <m/>
    <n v="0"/>
    <n v="150"/>
    <n v="3"/>
    <n v="600000"/>
    <n v="180"/>
    <n v="1000000"/>
    <n v="100000000000000"/>
    <n v="21"/>
    <n v="4.5"/>
    <n v="3.3"/>
    <n v="0.4"/>
    <n v="3.8788488000000001"/>
    <n v="0.96971220000000002"/>
    <n v="133.99"/>
    <n v="33.497500000000002"/>
    <n v="163.46780000000001"/>
    <n v="40.866950000000003"/>
    <n v="8.1733900000000013"/>
  </r>
  <r>
    <d v="2017-09-30T00:00:00"/>
    <s v="WD"/>
    <s v="Red NAS"/>
    <x v="0"/>
    <x v="0"/>
    <x v="6"/>
    <n v="5400"/>
    <m/>
    <m/>
    <n v="0"/>
    <m/>
    <n v="3"/>
    <n v="600000"/>
    <n v="180"/>
    <n v="1000000"/>
    <n v="100000000000000"/>
    <n v="21"/>
    <n v="5.3"/>
    <n v="3.4"/>
    <n v="0.4"/>
    <n v="4.1418216000000001"/>
    <n v="0.82836432000000004"/>
    <n v="262"/>
    <n v="52.4"/>
    <n v="319.64"/>
    <n v="63.927999999999997"/>
    <n v="12.785599999999999"/>
  </r>
  <r>
    <d v="2017-11-11T00:00:00"/>
    <s v="WD"/>
    <s v="Red NAS"/>
    <x v="0"/>
    <x v="0"/>
    <x v="1"/>
    <n v="5400"/>
    <m/>
    <m/>
    <n v="0"/>
    <n v="175"/>
    <n v="3"/>
    <n v="600000"/>
    <n v="180"/>
    <n v="1000000"/>
    <n v="100000000000000"/>
    <n v="21"/>
    <n v="5.3"/>
    <n v="3.4"/>
    <n v="0.4"/>
    <n v="4.1418216000000001"/>
    <n v="0.69030360000000002"/>
    <n v="189.99"/>
    <n v="31.665000000000003"/>
    <n v="231.7878"/>
    <n v="38.631300000000003"/>
    <n v="7.7262600000000008"/>
  </r>
  <r>
    <d v="2017-11-04T00:00:00"/>
    <s v="WD"/>
    <s v="Red NAS"/>
    <x v="0"/>
    <x v="0"/>
    <x v="2"/>
    <n v="5400"/>
    <m/>
    <m/>
    <n v="0"/>
    <n v="178"/>
    <n v="3"/>
    <n v="600000"/>
    <n v="180"/>
    <n v="1000000"/>
    <n v="100000000000000"/>
    <n v="21.48"/>
    <n v="6.4"/>
    <n v="5.2"/>
    <n v="0.7"/>
    <n v="5.960716800000001"/>
    <n v="0.74508960000000013"/>
    <n v="254.99"/>
    <n v="31.873750000000001"/>
    <n v="311.08780000000002"/>
    <n v="38.885975000000002"/>
    <n v="7.7771950000000007"/>
  </r>
  <r>
    <d v="2017-10-31T00:00:00"/>
    <s v="WD"/>
    <s v="Red NAS"/>
    <x v="0"/>
    <x v="0"/>
    <x v="3"/>
    <n v="5400"/>
    <m/>
    <m/>
    <n v="0"/>
    <n v="210"/>
    <n v="3"/>
    <n v="600000"/>
    <n v="180"/>
    <n v="1000000"/>
    <n v="100000000000000"/>
    <n v="21.48"/>
    <n v="5.7"/>
    <n v="2.8"/>
    <n v="0.5"/>
    <n v="3.7035336000000001"/>
    <n v="0.37035336000000002"/>
    <n v="349.99"/>
    <n v="34.999000000000002"/>
    <n v="426.98779999999999"/>
    <n v="42.698779999999999"/>
    <n v="8.5397560000000006"/>
  </r>
  <r>
    <d v="2017-10-11T00:00:00"/>
    <s v="WD"/>
    <s v="RED NAS Pro"/>
    <x v="0"/>
    <x v="0"/>
    <x v="5"/>
    <n v="7200"/>
    <m/>
    <m/>
    <n v="0.33333333333333326"/>
    <n v="164"/>
    <n v="5"/>
    <n v="600000"/>
    <n v="300"/>
    <n v="1000000"/>
    <n v="1000000000000000"/>
    <n v="22.799999999999997"/>
    <n v="7.8"/>
    <n v="6"/>
    <n v="1.4"/>
    <n v="6.9687792000000002"/>
    <n v="3.4843896000000001"/>
    <n v="120.99"/>
    <n v="60.494999999999997"/>
    <n v="120.99"/>
    <n v="60.494999999999997"/>
    <n v="12.0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5" cacheId="9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6">
  <location ref="A60:B74" firstHeaderRow="1" firstDataRow="1" firstDataCol="1" rowPageCount="2" colPageCount="1"/>
  <pivotFields count="28">
    <pivotField numFmtId="14" showAll="0"/>
    <pivotField axis="axisRow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4">
        <item x="0"/>
        <item x="1"/>
        <item x="2"/>
        <item t="default"/>
      </items>
    </pivotField>
    <pivotField axis="axisPage" numFmtId="2" showAll="0">
      <items count="3">
        <item x="1"/>
        <item x="0"/>
        <item t="default"/>
      </items>
    </pivotField>
    <pivotField numFmtId="2" showAll="0"/>
    <pivotField axis="axisRow" numFmtId="3" showAll="0" sortType="ascending">
      <items count="10">
        <item x="1"/>
        <item x="7"/>
        <item x="6"/>
        <item x="0"/>
        <item m="1" x="8"/>
        <item x="4"/>
        <item x="2"/>
        <item x="5"/>
        <item x="3"/>
        <item t="default"/>
      </items>
    </pivotField>
    <pivotField showAll="0"/>
    <pivotField showAll="0"/>
    <pivotField numFmtId="9"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dataField="1" numFmtId="164" showAll="0"/>
    <pivotField numFmtId="164" showAll="0"/>
    <pivotField showAll="0"/>
  </pivotFields>
  <rowFields count="2">
    <field x="6"/>
    <field x="1"/>
  </rowFields>
  <rowItems count="14">
    <i>
      <x/>
    </i>
    <i r="1">
      <x v="3"/>
    </i>
    <i>
      <x v="1"/>
    </i>
    <i r="1">
      <x v="3"/>
    </i>
    <i>
      <x v="2"/>
    </i>
    <i r="1">
      <x v="1"/>
    </i>
    <i>
      <x v="3"/>
    </i>
    <i r="1">
      <x/>
    </i>
    <i r="1">
      <x v="1"/>
    </i>
    <i r="1">
      <x v="2"/>
    </i>
    <i r="1">
      <x v="3"/>
    </i>
    <i>
      <x v="7"/>
    </i>
    <i r="1">
      <x v="1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PerTB" fld="25" subtotal="average" baseField="6" baseItem="0" numFmtId="164"/>
  </dataFields>
  <formats count="1">
    <format dxfId="30">
      <pivotArea outline="0" collapsedLevelsAreSubtotals="1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2" cacheId="9" applyNumberFormats="0" applyBorderFormats="0" applyFontFormats="0" applyPatternFormats="0" applyAlignmentFormats="0" applyWidthHeightFormats="1" dataCaption="Values" grandTotalCaption="Average" updatedVersion="5" minRefreshableVersion="3" useAutoFormatting="1" colGrandTotals="0" itemPrintTitles="1" createdVersion="6" indent="0" outline="1" outlineData="1" multipleFieldFilters="0" chartFormat="1">
  <location ref="A23:B34" firstHeaderRow="1" firstDataRow="1" firstDataCol="1" rowPageCount="2" colPageCount="1"/>
  <pivotFields count="28">
    <pivotField numFmtId="14" subtotalTop="0" showAll="0"/>
    <pivotField subtotalTop="0" showAll="0"/>
    <pivotField subtotalTop="0" showAll="0"/>
    <pivotField axis="axisPage" subtotalTop="0" showAll="0">
      <items count="4">
        <item x="0"/>
        <item x="1"/>
        <item x="2"/>
        <item t="default"/>
      </items>
    </pivotField>
    <pivotField axis="axisPage" numFmtId="2" showAll="0" defaultSubtotal="0">
      <items count="2">
        <item x="1"/>
        <item x="0"/>
      </items>
    </pivotField>
    <pivotField axis="axisRow" numFmtId="2" subtotalTop="0" showAll="0" sortType="ascending">
      <items count="19">
        <item m="1" x="16"/>
        <item m="1" x="17"/>
        <item x="9"/>
        <item x="15"/>
        <item x="14"/>
        <item x="4"/>
        <item x="7"/>
        <item x="8"/>
        <item x="5"/>
        <item x="13"/>
        <item x="12"/>
        <item x="0"/>
        <item x="6"/>
        <item x="1"/>
        <item x="2"/>
        <item x="3"/>
        <item x="10"/>
        <item x="11"/>
        <item t="default"/>
      </items>
    </pivotField>
    <pivotField numFmtId="3" subtotalTop="0" showAll="0"/>
    <pivotField subtotalTop="0" showAll="0"/>
    <pivotField subtotalTop="0" showAll="0"/>
    <pivotField numFmtId="9" subtotalTop="0" showAll="0"/>
    <pivotField subtotalTop="0" showAll="0"/>
    <pivotField showAll="0" defaultSubtota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dataField="1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subtotalTop="0" showAll="0"/>
  </pivotFields>
  <rowFields count="1">
    <field x="5"/>
  </rowFields>
  <rowItems count="11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Cost per TB per year" fld="21" subtotal="average" baseField="4" baseItem="0" numFmtId="169"/>
  </dataFields>
  <formats count="12">
    <format dxfId="42">
      <pivotArea outline="0" collapsedLevelsAreSubtotals="1" fieldPosition="0"/>
    </format>
    <format dxfId="41">
      <pivotArea collapsedLevelsAreSubtotals="1" fieldPosition="0">
        <references count="1">
          <reference field="5" count="1">
            <x v="8"/>
          </reference>
        </references>
      </pivotArea>
    </format>
    <format dxfId="40">
      <pivotArea outline="0" collapsedLevelsAreSubtotals="1" fieldPosition="0"/>
    </format>
    <format dxfId="39">
      <pivotArea outline="0" collapsedLevelsAreSubtotals="1" fieldPosition="0"/>
    </format>
    <format dxfId="38">
      <pivotArea dataOnly="0" labelOnly="1" fieldPosition="0">
        <references count="1">
          <reference field="5" count="0"/>
        </references>
      </pivotArea>
    </format>
    <format dxfId="37">
      <pivotArea dataOnly="0" labelOnly="1" fieldPosition="0">
        <references count="1">
          <reference field="5" count="0"/>
        </references>
      </pivotArea>
    </format>
    <format dxfId="36">
      <pivotArea type="all" dataOnly="0" outline="0" fieldPosition="0"/>
    </format>
    <format dxfId="35">
      <pivotArea outline="0" collapsedLevelsAreSubtotals="1" fieldPosition="0"/>
    </format>
    <format dxfId="34">
      <pivotArea field="5" type="button" dataOnly="0" labelOnly="1" outline="0" axis="axisRow" fieldPosition="0"/>
    </format>
    <format dxfId="33">
      <pivotArea dataOnly="0" labelOnly="1" outline="0" axis="axisValues" fieldPosition="0"/>
    </format>
    <format dxfId="32">
      <pivotArea dataOnly="0" labelOnly="1" fieldPosition="0">
        <references count="1">
          <reference field="5" count="0"/>
        </references>
      </pivotArea>
    </format>
    <format dxfId="31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1" cacheId="14" applyNumberFormats="0" applyBorderFormats="0" applyFontFormats="0" applyPatternFormats="0" applyAlignmentFormats="0" applyWidthHeightFormats="1" dataCaption="Values" grandTotalCaption="Avg By Size" updatedVersion="5" minRefreshableVersion="3" showCalcMbrs="0" useAutoFormatting="1" colGrandTotals="0" itemPrintTitles="1" createdVersion="3" indent="0" outline="1" outlineData="1" multipleFieldFilters="0" chartFormat="5">
  <location ref="A5:B16" firstHeaderRow="1" firstDataRow="1" firstDataCol="1" rowPageCount="2" colPageCount="1"/>
  <pivotFields count="27">
    <pivotField numFmtId="14" showAll="0"/>
    <pivotField showAll="0" defaultSubtotal="0"/>
    <pivotField showAll="0" defaultSubtotal="0"/>
    <pivotField axis="axisPage" showAll="0" defaultSubtotal="0">
      <items count="3">
        <item x="0"/>
        <item x="1"/>
        <item x="2"/>
      </items>
    </pivotField>
    <pivotField axis="axisPage" numFmtId="2" showAll="0" defaultSubtotal="0">
      <items count="2">
        <item x="1"/>
        <item x="0"/>
      </items>
    </pivotField>
    <pivotField axis="axisRow" numFmtId="2" showAll="0" sortType="ascending" defaultSubtotal="0">
      <items count="18">
        <item m="1" x="16"/>
        <item m="1" x="17"/>
        <item x="9"/>
        <item x="15"/>
        <item x="14"/>
        <item x="4"/>
        <item x="7"/>
        <item x="8"/>
        <item x="5"/>
        <item x="13"/>
        <item x="12"/>
        <item x="0"/>
        <item x="6"/>
        <item x="1"/>
        <item x="2"/>
        <item x="3"/>
        <item x="10"/>
        <item x="11"/>
      </items>
    </pivotField>
    <pivotField numFmtId="3" showAll="0" defaultSubtotal="0"/>
    <pivotField showAll="0" defaultSubtotal="0"/>
    <pivotField showAll="0" defaultSubtotal="0"/>
    <pivotField numFmtId="9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4" showAll="0" defaultSubtotal="0"/>
    <pivotField numFmtId="164" showAll="0" defaultSubtotal="0"/>
    <pivotField numFmtId="164" showAll="0" defaultSubtotal="0"/>
    <pivotField numFmtId="164" showAll="0" defaultSubtotal="0"/>
    <pivotField dataField="1" numFmtId="164" showAll="0" defaultSubtotal="0"/>
  </pivotFields>
  <rowFields count="1">
    <field x="5"/>
  </rowFields>
  <rowItems count="11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 TB/year" fld="26" subtotal="average" baseField="0" baseItem="0" numFmtId="164"/>
  </dataFields>
  <formats count="6">
    <format dxfId="48">
      <pivotArea outline="0" collapsedLevelsAreSubtotals="1" fieldPosition="0"/>
    </format>
    <format dxfId="47">
      <pivotArea dataOnly="0" labelOnly="1" fieldPosition="0">
        <references count="1">
          <reference field="5" count="0"/>
        </references>
      </pivotArea>
    </format>
    <format dxfId="46">
      <pivotArea type="all" dataOnly="0" outline="0" fieldPosition="0"/>
    </format>
    <format dxfId="45">
      <pivotArea field="5" type="button" dataOnly="0" labelOnly="1" outline="0" axis="axisRow" fieldPosition="0"/>
    </format>
    <format dxfId="44">
      <pivotArea dataOnly="0" labelOnly="1" outline="0" axis="axisValues" fieldPosition="0"/>
    </format>
    <format dxfId="43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ivotTable7" cacheId="9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13">
  <location ref="A82:B113" firstHeaderRow="1" firstDataRow="1" firstDataCol="1" rowPageCount="4" colPageCount="1"/>
  <pivotFields count="28">
    <pivotField numFmtId="14" showAll="0"/>
    <pivotField axis="axisPage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4">
        <item x="0"/>
        <item x="1"/>
        <item x="2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>
      <items count="19">
        <item m="1" x="17"/>
        <item x="9"/>
        <item x="15"/>
        <item x="14"/>
        <item x="4"/>
        <item x="7"/>
        <item x="8"/>
        <item x="5"/>
        <item x="13"/>
        <item x="12"/>
        <item x="0"/>
        <item x="6"/>
        <item x="1"/>
        <item x="2"/>
        <item x="3"/>
        <item x="10"/>
        <item x="11"/>
        <item m="1" x="16"/>
        <item t="default"/>
      </items>
    </pivotField>
    <pivotField axis="axisRow" numFmtId="3" showAll="0">
      <items count="10">
        <item x="1"/>
        <item x="7"/>
        <item x="6"/>
        <item x="0"/>
        <item m="1" x="8"/>
        <item x="4"/>
        <item x="2"/>
        <item x="5"/>
        <item x="3"/>
        <item t="default"/>
      </items>
    </pivotField>
    <pivotField showAll="0"/>
    <pivotField showAll="0"/>
    <pivotField numFmtId="9" showAll="0"/>
    <pivotField showAll="0"/>
    <pivotField showAll="0" defaultSubtotal="0"/>
    <pivotField showAll="0"/>
    <pivotField showAll="0"/>
    <pivotField axis="axisPage" multipleItemSelectionAllowed="1" showAll="0">
      <items count="8">
        <item x="6"/>
        <item x="4"/>
        <item x="0"/>
        <item x="5"/>
        <item h="1" x="2"/>
        <item h="1" x="3"/>
        <item h="1" x="1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</pivotFields>
  <rowFields count="2">
    <field x="5"/>
    <field x="6"/>
  </rowFields>
  <rowItems count="31">
    <i>
      <x v="4"/>
    </i>
    <i r="1">
      <x/>
    </i>
    <i r="1">
      <x v="2"/>
    </i>
    <i>
      <x v="7"/>
    </i>
    <i r="1">
      <x/>
    </i>
    <i r="1">
      <x v="2"/>
    </i>
    <i r="1">
      <x v="3"/>
    </i>
    <i>
      <x v="9"/>
    </i>
    <i r="1">
      <x/>
    </i>
    <i r="1">
      <x v="2"/>
    </i>
    <i r="1">
      <x v="3"/>
    </i>
    <i>
      <x v="10"/>
    </i>
    <i r="1">
      <x/>
    </i>
    <i r="1">
      <x v="2"/>
    </i>
    <i r="1">
      <x v="3"/>
    </i>
    <i>
      <x v="11"/>
    </i>
    <i r="1">
      <x/>
    </i>
    <i r="1">
      <x v="3"/>
    </i>
    <i>
      <x v="12"/>
    </i>
    <i r="1">
      <x/>
    </i>
    <i r="1">
      <x v="1"/>
    </i>
    <i r="1">
      <x v="3"/>
    </i>
    <i>
      <x v="13"/>
    </i>
    <i r="1">
      <x/>
    </i>
    <i r="1">
      <x v="3"/>
    </i>
    <i>
      <x v="14"/>
    </i>
    <i r="1">
      <x/>
    </i>
    <i r="1">
      <x v="3"/>
    </i>
    <i>
      <x v="15"/>
    </i>
    <i r="1">
      <x v="3"/>
    </i>
    <i t="grand">
      <x/>
    </i>
  </rowItems>
  <colItems count="1">
    <i/>
  </colItems>
  <pageFields count="4">
    <pageField fld="3" item="0" hier="-1"/>
    <pageField fld="4" item="1" hier="-1"/>
    <pageField fld="1" hier="-1"/>
    <pageField fld="14" hier="-1"/>
  </pageFields>
  <dataFields count="1">
    <dataField name="Average of MaxStartupWatts" fld="16" subtotal="average" baseField="5" baseItem="12" numFmtId="2"/>
  </dataFields>
  <chartFormats count="3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PivotTable6" cacheId="9" applyNumberFormats="0" applyBorderFormats="0" applyFontFormats="0" applyPatternFormats="0" applyAlignmentFormats="0" applyWidthHeightFormats="1" dataCaption="Values" grandTotalCaption="Average" updatedVersion="5" minRefreshableVersion="3" showCalcMbrs="0" useAutoFormatting="1" colGrandTotals="0" itemPrintTitles="1" createdVersion="3" indent="0" outline="1" outlineData="1" multipleFieldFilters="0" chartFormat="2">
  <location ref="A41:B52" firstHeaderRow="1" firstDataRow="1" firstDataCol="1" rowPageCount="2" colPageCount="1"/>
  <pivotFields count="28">
    <pivotField numFmtId="14" showAll="0"/>
    <pivotField showAll="0"/>
    <pivotField showAll="0"/>
    <pivotField axis="axisPage" showAll="0">
      <items count="4">
        <item x="0"/>
        <item x="1"/>
        <item x="2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 sortType="ascending">
      <items count="19">
        <item m="1" x="16"/>
        <item m="1" x="17"/>
        <item x="9"/>
        <item x="15"/>
        <item x="14"/>
        <item x="4"/>
        <item x="7"/>
        <item x="8"/>
        <item x="5"/>
        <item x="13"/>
        <item x="12"/>
        <item x="0"/>
        <item x="6"/>
        <item x="1"/>
        <item x="2"/>
        <item x="3"/>
        <item x="10"/>
        <item x="11"/>
        <item t="default"/>
      </items>
    </pivotField>
    <pivotField numFmtId="3" showAll="0"/>
    <pivotField showAll="0"/>
    <pivotField showAll="0"/>
    <pivotField numFmtId="9"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</pivotFields>
  <rowFields count="1">
    <field x="5"/>
  </rowFields>
  <rowItems count="11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Energy$year" fld="20" subtotal="average" baseField="0" baseItem="0" numFmtId="169"/>
  </dataFields>
  <formats count="8">
    <format dxfId="56">
      <pivotArea dataOnly="0" labelOnly="1" fieldPosition="0">
        <references count="1">
          <reference field="5" count="0"/>
        </references>
      </pivotArea>
    </format>
    <format dxfId="55">
      <pivotArea outline="0" collapsedLevelsAreSubtotals="1" fieldPosition="0"/>
    </format>
    <format dxfId="54">
      <pivotArea type="all" dataOnly="0" outline="0" fieldPosition="0"/>
    </format>
    <format dxfId="53">
      <pivotArea outline="0" collapsedLevelsAreSubtotals="1" fieldPosition="0"/>
    </format>
    <format dxfId="52">
      <pivotArea field="5" type="button" dataOnly="0" labelOnly="1" outline="0" axis="axisRow" fieldPosition="0"/>
    </format>
    <format dxfId="51">
      <pivotArea dataOnly="0" labelOnly="1" outline="0" axis="axisValues" fieldPosition="0"/>
    </format>
    <format dxfId="50">
      <pivotArea dataOnly="0" labelOnly="1" fieldPosition="0">
        <references count="1">
          <reference field="5" count="0"/>
        </references>
      </pivotArea>
    </format>
    <format dxfId="49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5" name="Table5" displayName="Table5" ref="A2:AB122" totalsRowShown="0" headerRowDxfId="84" headerRowBorderDxfId="83" tableBorderDxfId="82">
  <autoFilter ref="A2:AB122"/>
  <sortState ref="A3:X91">
    <sortCondition ref="B3:B91"/>
    <sortCondition ref="C3:C91"/>
    <sortCondition ref="F3:F91"/>
    <sortCondition ref="G3:G91"/>
  </sortState>
  <tableColumns count="28">
    <tableColumn id="1" name="Date" dataDxfId="81"/>
    <tableColumn id="2" name="Manu"/>
    <tableColumn id="3" name="Model" dataDxfId="80"/>
    <tableColumn id="21" name="Type" dataDxfId="79"/>
    <tableColumn id="29" name="FormFactor" dataDxfId="78"/>
    <tableColumn id="5" name="SizTB" dataDxfId="77"/>
    <tableColumn id="4" name="RPM" dataDxfId="76"/>
    <tableColumn id="27" name="AvgLatency" dataDxfId="75"/>
    <tableColumn id="28" name="SeekT" dataDxfId="74"/>
    <tableColumn id="6" name="PerfCmp" dataDxfId="73">
      <calculatedColumnFormula>(Table5[[#This Row],[RPM]]/5400-1)</calculatedColumnFormula>
    </tableColumn>
    <tableColumn id="26" name="XferRate" dataDxfId="72"/>
    <tableColumn id="7" name="S"/>
    <tableColumn id="22" name="CycleCnt" dataDxfId="71"/>
    <tableColumn id="23" name="WorkLoad"/>
    <tableColumn id="24" name="MTBF" dataDxfId="70"/>
    <tableColumn id="25" name="RErrRate" dataDxfId="69"/>
    <tableColumn id="18" name="MaxStartupWatts" dataDxfId="68"/>
    <tableColumn id="8" name="Watts Active" dataDxfId="67"/>
    <tableColumn id="9" name="Watts Idle" dataDxfId="66"/>
    <tableColumn id="10" name="WattsStandby" dataDxfId="65"/>
    <tableColumn id="31" name="Energy$year" dataDxfId="64"/>
    <tableColumn id="30" name="Energy$yearPerTB" dataDxfId="63"/>
    <tableColumn id="11" name="Cost" dataDxfId="62"/>
    <tableColumn id="12" name="$ TB" dataDxfId="61">
      <calculatedColumnFormula>Table5[[#This Row],[Cost]]/Table5[[#This Row],[SizTB]]</calculatedColumnFormula>
    </tableColumn>
    <tableColumn id="13" name="$+Warr" dataDxfId="60">
      <calculatedColumnFormula>Table5[[#This Row],[Cost]]+((CompareWarrYrs-Table5[[#This Row],[S]])*(Incremental_Warr_Yr*Table5[[#This Row],[Cost]]))</calculatedColumnFormula>
    </tableColumn>
    <tableColumn id="14" name="$PerTB" dataDxfId="59">
      <calculatedColumnFormula>Table5[[#This Row],[$+Warr]]/Table5[[#This Row],[SizTB]]</calculatedColumnFormula>
    </tableColumn>
    <tableColumn id="15" name="$ TB/year" dataDxfId="58">
      <calculatedColumnFormula>Table5[[#This Row],[$PerTB]]/CompareWarrYrs</calculatedColumnFormula>
    </tableColumn>
    <tableColumn id="19" name="Notes" dataDxfId="57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eagate.com/internal-hard-drives/hdd/firecuda/" TargetMode="External"/><Relationship Id="rId21" Type="http://schemas.openxmlformats.org/officeDocument/2006/relationships/hyperlink" Target="https://www.wdc.com/content/dam/wdc/website/downloadable_assets/eng/spec_data_sheet/2879-771437.pdf" TargetMode="External"/><Relationship Id="rId34" Type="http://schemas.openxmlformats.org/officeDocument/2006/relationships/hyperlink" Target="http://www.hgst.com/sites/default/files/resources/HGST-Helium-Technology-BR03.pdf" TargetMode="External"/><Relationship Id="rId42" Type="http://schemas.openxmlformats.org/officeDocument/2006/relationships/hyperlink" Target="http://products.wdc.com/library/SpecSheet/ENG/2879-771434.pdf" TargetMode="External"/><Relationship Id="rId47" Type="http://schemas.openxmlformats.org/officeDocument/2006/relationships/hyperlink" Target="https://toshiba.semicon-storage.com/content/dam/toshiba-ss/asia-pacific/docs/product/storage/product-manual/eHDD-AL14SXB-product-overview.pdf" TargetMode="External"/><Relationship Id="rId50" Type="http://schemas.openxmlformats.org/officeDocument/2006/relationships/hyperlink" Target="https://www.newegg.com/Product/Product.aspx?Item=9SIA5AD5YN7412&amp;utm_medium=Email&amp;utm_source=GD110617&amp;cm_mmc=EMC-GD110617-_-landing-_-Item-_-9SIA5AD5YN7412" TargetMode="External"/><Relationship Id="rId55" Type="http://schemas.openxmlformats.org/officeDocument/2006/relationships/hyperlink" Target="https://www.newegg.com/Product/Product.aspx?item=N82E16822149696" TargetMode="External"/><Relationship Id="rId63" Type="http://schemas.openxmlformats.org/officeDocument/2006/relationships/hyperlink" Target="http://www.tomsitpro.com/articles/wd-hgst-8tb-hdd-gold,1-3248.html" TargetMode="External"/><Relationship Id="rId68" Type="http://schemas.openxmlformats.org/officeDocument/2006/relationships/hyperlink" Target="https://www.newegg.com/Product/Product.aspx?Item=N82E16822235281&amp;utm_medium=Email&amp;utm_source=IGNEFL111417&amp;cm_mmc=EMC-IGNEFL111417-_-EMC-111417-Index-_-DesktopInternalHardDrives-_-22235281-S0&amp;ignorebbr=1" TargetMode="External"/><Relationship Id="rId76" Type="http://schemas.openxmlformats.org/officeDocument/2006/relationships/hyperlink" Target="https://www.newegg.com/Product/Product.aspx?item=N82E16822179131" TargetMode="External"/><Relationship Id="rId84" Type="http://schemas.openxmlformats.org/officeDocument/2006/relationships/hyperlink" Target="https://www.newegg.com/Product/Product.aspx?item=N82E16822179003" TargetMode="External"/><Relationship Id="rId89" Type="http://schemas.openxmlformats.org/officeDocument/2006/relationships/hyperlink" Target="https://www.newegg.com/Product/Product.aspx?item=N82E16822146076" TargetMode="External"/><Relationship Id="rId97" Type="http://schemas.openxmlformats.org/officeDocument/2006/relationships/comments" Target="../comments1.xml"/><Relationship Id="rId7" Type="http://schemas.openxmlformats.org/officeDocument/2006/relationships/hyperlink" Target="https://www.hgst.com/products/hard-drives/ultrastar-7k6000" TargetMode="External"/><Relationship Id="rId71" Type="http://schemas.openxmlformats.org/officeDocument/2006/relationships/hyperlink" Target="https://www.newegg.com/Product/Product.aspx?item=N82E16822235128" TargetMode="External"/><Relationship Id="rId92" Type="http://schemas.openxmlformats.org/officeDocument/2006/relationships/hyperlink" Target="https://www.newegg.com/Product/Product.aspx?Item=9SIA25V4XG7457&amp;cm_re=Ultrastar_7K6000_5tb-_-9SIA25V4XG7457-_-Product" TargetMode="External"/><Relationship Id="rId2" Type="http://schemas.openxmlformats.org/officeDocument/2006/relationships/hyperlink" Target="https://www.hgst.com/products/hard-drives/nas-desktop-drive-kit" TargetMode="External"/><Relationship Id="rId16" Type="http://schemas.openxmlformats.org/officeDocument/2006/relationships/hyperlink" Target="https://www.seagate.com/enterprise-storage/exos-drives/exos-e-drives/" TargetMode="External"/><Relationship Id="rId29" Type="http://schemas.openxmlformats.org/officeDocument/2006/relationships/hyperlink" Target="http://www.hgst.com/sites/default/files/resources/HGST-Helium-Technology-BR03.pdf" TargetMode="External"/><Relationship Id="rId11" Type="http://schemas.openxmlformats.org/officeDocument/2006/relationships/hyperlink" Target="https://www.seagate.com/files/www-content/datasheets/pdfs/exos-7-e8-data-sheet-DS1957-1-1709US-en_US.pdf" TargetMode="External"/><Relationship Id="rId24" Type="http://schemas.openxmlformats.org/officeDocument/2006/relationships/hyperlink" Target="https://www.seagate.com/internal-hard-drives/hdd/ironwolf/" TargetMode="External"/><Relationship Id="rId32" Type="http://schemas.openxmlformats.org/officeDocument/2006/relationships/hyperlink" Target="http://www.hgst.com/sites/default/files/resources/HGST-Helium-Technology-BR03.pdf" TargetMode="External"/><Relationship Id="rId37" Type="http://schemas.openxmlformats.org/officeDocument/2006/relationships/hyperlink" Target="https://www.hgst.com/sites/default/files/resources/T5K100_sp.pdf" TargetMode="External"/><Relationship Id="rId40" Type="http://schemas.openxmlformats.org/officeDocument/2006/relationships/hyperlink" Target="https://www.toshiba-storage.com/products/x300/?pdf" TargetMode="External"/><Relationship Id="rId45" Type="http://schemas.openxmlformats.org/officeDocument/2006/relationships/hyperlink" Target="https://toshiba.semicon-storage.com/us/product/storage-products/enterprise-hdd/mg06acaxxxx.html" TargetMode="External"/><Relationship Id="rId53" Type="http://schemas.openxmlformats.org/officeDocument/2006/relationships/hyperlink" Target="https://www.newegg.com/Product/Product.aspx?item=N82E16822236344" TargetMode="External"/><Relationship Id="rId58" Type="http://schemas.openxmlformats.org/officeDocument/2006/relationships/hyperlink" Target="https://www.newegg.com/Product/Product.aspx?Item=9SIA99462P4004" TargetMode="External"/><Relationship Id="rId66" Type="http://schemas.openxmlformats.org/officeDocument/2006/relationships/hyperlink" Target="http://www.hgst.com/avl/src_front/compatibility.php?mode=product_pdf&amp;pid=106&amp;lang=en" TargetMode="External"/><Relationship Id="rId74" Type="http://schemas.openxmlformats.org/officeDocument/2006/relationships/hyperlink" Target="https://www.newegg.com/Product/Product.aspx?item=N82E16822236600" TargetMode="External"/><Relationship Id="rId79" Type="http://schemas.openxmlformats.org/officeDocument/2006/relationships/hyperlink" Target="https://www.newegg.com/Product/Product.aspx?item=N82E16822179100" TargetMode="External"/><Relationship Id="rId87" Type="http://schemas.openxmlformats.org/officeDocument/2006/relationships/hyperlink" Target="https://www.newegg.com/Product/Product.aspx?item=N82E16822179006" TargetMode="External"/><Relationship Id="rId5" Type="http://schemas.openxmlformats.org/officeDocument/2006/relationships/hyperlink" Target="https://www.hgst.com/products/hard-drives/ultrastar-c10k1800" TargetMode="External"/><Relationship Id="rId61" Type="http://schemas.openxmlformats.org/officeDocument/2006/relationships/hyperlink" Target="https://www.newegg.com/Product/Product.aspx?item=N82E16822179007" TargetMode="External"/><Relationship Id="rId82" Type="http://schemas.openxmlformats.org/officeDocument/2006/relationships/hyperlink" Target="https://www.newegg.com/Product/Product.aspx?Item=N82E16822178997" TargetMode="External"/><Relationship Id="rId90" Type="http://schemas.openxmlformats.org/officeDocument/2006/relationships/hyperlink" Target="https://www.newegg.com/Product/Product.aspx?item=N82E16822146071" TargetMode="External"/><Relationship Id="rId95" Type="http://schemas.openxmlformats.org/officeDocument/2006/relationships/vmlDrawing" Target="../drawings/vmlDrawing1.vml"/><Relationship Id="rId19" Type="http://schemas.openxmlformats.org/officeDocument/2006/relationships/hyperlink" Target="https://www.wdc.com/content/dam/wdc/website/downloadable_assets/eng/spec_data_sheet/2879-800002.pdf" TargetMode="External"/><Relationship Id="rId14" Type="http://schemas.openxmlformats.org/officeDocument/2006/relationships/hyperlink" Target="https://www.seagate.com/enterprise-storage/enterprise-models/?mod=exos-x10" TargetMode="External"/><Relationship Id="rId22" Type="http://schemas.openxmlformats.org/officeDocument/2006/relationships/hyperlink" Target="http://products.wdc.com/library/SpecSheet/ENG/2879-800045.pdf" TargetMode="External"/><Relationship Id="rId27" Type="http://schemas.openxmlformats.org/officeDocument/2006/relationships/hyperlink" Target="https://www.seagate.com/internal-hard-drives/hdd/firecuda/" TargetMode="External"/><Relationship Id="rId30" Type="http://schemas.openxmlformats.org/officeDocument/2006/relationships/hyperlink" Target="http://www.hgst.com/sites/default/files/resources/HGST-Helium-Technology-BR03.pdf" TargetMode="External"/><Relationship Id="rId35" Type="http://schemas.openxmlformats.org/officeDocument/2006/relationships/hyperlink" Target="http://www.hgst.com/products/hard-drives/ultrastar-he12" TargetMode="External"/><Relationship Id="rId43" Type="http://schemas.openxmlformats.org/officeDocument/2006/relationships/hyperlink" Target="https://www.wdc.com/content/dam/wdc/website/downloadable_assets/eng/spec_data_sheet/2879-800002.pdf" TargetMode="External"/><Relationship Id="rId48" Type="http://schemas.openxmlformats.org/officeDocument/2006/relationships/hyperlink" Target="https://www.seagate.com/internal-hard-drives/hdd/ironwolf/?sku=ST10000NE0004" TargetMode="External"/><Relationship Id="rId56" Type="http://schemas.openxmlformats.org/officeDocument/2006/relationships/hyperlink" Target="https://www.newegg.com/Product/Product.aspx?item=N82E16822149697" TargetMode="External"/><Relationship Id="rId64" Type="http://schemas.openxmlformats.org/officeDocument/2006/relationships/hyperlink" Target="http://www.tomsitpro.com/articles/wd-hgst-8tb-hdd-gold,1-3248.html" TargetMode="External"/><Relationship Id="rId69" Type="http://schemas.openxmlformats.org/officeDocument/2006/relationships/hyperlink" Target="https://www.newegg.com/Product/Product.aspx?item=N82E16822236624" TargetMode="External"/><Relationship Id="rId77" Type="http://schemas.openxmlformats.org/officeDocument/2006/relationships/hyperlink" Target="https://www.newegg.com/Product/Product.aspx?item=N82E16822179103" TargetMode="External"/><Relationship Id="rId8" Type="http://schemas.openxmlformats.org/officeDocument/2006/relationships/hyperlink" Target="http://products.wdc.com/library/SpecSheet/ENG/2879-771434.pdf" TargetMode="External"/><Relationship Id="rId51" Type="http://schemas.openxmlformats.org/officeDocument/2006/relationships/hyperlink" Target="https://www.newegg.com/Product/Product.aspx?Item=22-236-339&amp;utm_medium=Email&amp;utm_source=GD110617&amp;cm_mmc=EMC-GD110617-_-landing-_-Item-_-22-236-339" TargetMode="External"/><Relationship Id="rId72" Type="http://schemas.openxmlformats.org/officeDocument/2006/relationships/hyperlink" Target="https://www.newegg.com/Product/Product.aspx?item=N82E16822236496" TargetMode="External"/><Relationship Id="rId80" Type="http://schemas.openxmlformats.org/officeDocument/2006/relationships/hyperlink" Target="https://www.newegg.com/Product/Product.aspx?item=N82E16822179101" TargetMode="External"/><Relationship Id="rId85" Type="http://schemas.openxmlformats.org/officeDocument/2006/relationships/hyperlink" Target="https://www.newegg.com/Product/Product.aspx?item=N82E16822179004" TargetMode="External"/><Relationship Id="rId93" Type="http://schemas.openxmlformats.org/officeDocument/2006/relationships/printerSettings" Target="../printerSettings/printerSettings1.bin"/><Relationship Id="rId3" Type="http://schemas.openxmlformats.org/officeDocument/2006/relationships/hyperlink" Target="https://www.hgst.com/products/hard-drives/nas-desktop-drive-kit" TargetMode="External"/><Relationship Id="rId12" Type="http://schemas.openxmlformats.org/officeDocument/2006/relationships/hyperlink" Target="https://www.seagate.com/files/www-content/datasheets/pdfs/ex-os-15-e-900-DS1958-1-1709US-en_US.pdf" TargetMode="External"/><Relationship Id="rId17" Type="http://schemas.openxmlformats.org/officeDocument/2006/relationships/hyperlink" Target="https://www.wdc.com/content/dam/wdc/website/downloadable_assets/eng/spec_data_sheet/2879-800074.pdf" TargetMode="External"/><Relationship Id="rId25" Type="http://schemas.openxmlformats.org/officeDocument/2006/relationships/hyperlink" Target="https://www.seagate.com/www-content/product-content/constellation-fam/constellation-cs/en-us/docs/terascale-hdd-data-sheet-ds1793-1-1306us.pdf" TargetMode="External"/><Relationship Id="rId33" Type="http://schemas.openxmlformats.org/officeDocument/2006/relationships/hyperlink" Target="http://www.hgst.com/sites/default/files/resources/HGST-Helium-Technology-BR03.pdf" TargetMode="External"/><Relationship Id="rId38" Type="http://schemas.openxmlformats.org/officeDocument/2006/relationships/hyperlink" Target="https://www.hgst.com/sites/default/files/resources/7K100_SATA_FINAL_DS.pdf" TargetMode="External"/><Relationship Id="rId46" Type="http://schemas.openxmlformats.org/officeDocument/2006/relationships/hyperlink" Target="https://toshiba.semicon-storage.com/content/dam/toshiba-ss/asia-pacific/docs/product/storage/product-manual/eHDD-AL14SEBxxEx_product-overview.pdf" TargetMode="External"/><Relationship Id="rId59" Type="http://schemas.openxmlformats.org/officeDocument/2006/relationships/hyperlink" Target="https://www.newegg.com/Product/Product.aspx?Item=9SIA99469N9136" TargetMode="External"/><Relationship Id="rId67" Type="http://schemas.openxmlformats.org/officeDocument/2006/relationships/hyperlink" Target="https://www.goharddrive.com/HGST-Ultrastar-HE6-HUS726060ALA640-6TB-HDD-p/g01-1073.htm" TargetMode="External"/><Relationship Id="rId20" Type="http://schemas.openxmlformats.org/officeDocument/2006/relationships/hyperlink" Target="https://www.wdc.com/content/dam/wdc/website/downloadable_assets/eng/spec_data_sheet/2879-771436.pdf" TargetMode="External"/><Relationship Id="rId41" Type="http://schemas.openxmlformats.org/officeDocument/2006/relationships/hyperlink" Target="https://www.toshiba-storage.com/products/p300/" TargetMode="External"/><Relationship Id="rId54" Type="http://schemas.openxmlformats.org/officeDocument/2006/relationships/hyperlink" Target="https://www.newegg.com/Product/Product.aspx?Item=N82E16822149695&amp;utm_medium=Email&amp;utm_source=IGNEFL110717&amp;cm_mmc=EMC-IGNEFL110717-_-EMC-110717-Index-_-DesktopInternalHardDrives-_-22149695-S1A2C&amp;ignorebbr=1" TargetMode="External"/><Relationship Id="rId62" Type="http://schemas.openxmlformats.org/officeDocument/2006/relationships/hyperlink" Target="http://www.tomsitpro.com/articles/hgst-ultrastar-c15k600-hdd,2-906-3.html" TargetMode="External"/><Relationship Id="rId70" Type="http://schemas.openxmlformats.org/officeDocument/2006/relationships/hyperlink" Target="https://www.newegg.com/Product/Product.aspx?item=N82E16822236625" TargetMode="External"/><Relationship Id="rId75" Type="http://schemas.openxmlformats.org/officeDocument/2006/relationships/hyperlink" Target="https://www.newegg.com/Product/Product.aspx?item=N82E16822236601" TargetMode="External"/><Relationship Id="rId83" Type="http://schemas.openxmlformats.org/officeDocument/2006/relationships/hyperlink" Target="https://www.newegg.com/Product/Product.aspx?item=N82E16822172025" TargetMode="External"/><Relationship Id="rId88" Type="http://schemas.openxmlformats.org/officeDocument/2006/relationships/hyperlink" Target="https://www.newegg.com/Product/Product.aspx?item=N82E16822179008" TargetMode="External"/><Relationship Id="rId91" Type="http://schemas.openxmlformats.org/officeDocument/2006/relationships/hyperlink" Target="https://www.newegg.com/Product/Product.aspx?item=N82E16822146067" TargetMode="External"/><Relationship Id="rId96" Type="http://schemas.openxmlformats.org/officeDocument/2006/relationships/table" Target="../tables/table1.xml"/><Relationship Id="rId1" Type="http://schemas.openxmlformats.org/officeDocument/2006/relationships/hyperlink" Target="http://www.hgst.com/sites/default/files/resources/Ultrastar-Hs14-DS.pdf" TargetMode="External"/><Relationship Id="rId6" Type="http://schemas.openxmlformats.org/officeDocument/2006/relationships/hyperlink" Target="https://www.hgst.com/products/hard-drives/ultrastar-c15k600" TargetMode="External"/><Relationship Id="rId15" Type="http://schemas.openxmlformats.org/officeDocument/2006/relationships/hyperlink" Target="https://www.seagate.com/files/www-content/datasheets/pdfs/exos-x-12-DS1946-1-1709US-en_US.pdf" TargetMode="External"/><Relationship Id="rId23" Type="http://schemas.openxmlformats.org/officeDocument/2006/relationships/hyperlink" Target="https://www.seagate.com/internal-hard-drives/hdd/ironwolf/" TargetMode="External"/><Relationship Id="rId28" Type="http://schemas.openxmlformats.org/officeDocument/2006/relationships/hyperlink" Target="http://hdd.userbenchmark.com/" TargetMode="External"/><Relationship Id="rId36" Type="http://schemas.openxmlformats.org/officeDocument/2006/relationships/hyperlink" Target="http://www.hgst.com/products/hard-drives/ultrastar-he10" TargetMode="External"/><Relationship Id="rId49" Type="http://schemas.openxmlformats.org/officeDocument/2006/relationships/hyperlink" Target="https://www.seagate.com/internal-hard-drives/hdd/ironwolf/?sku=ST10000NE0004" TargetMode="External"/><Relationship Id="rId57" Type="http://schemas.openxmlformats.org/officeDocument/2006/relationships/hyperlink" Target="https://www.newegg.com/Product/Product.aspx?Item=22-145-881&amp;utm_medium=Email&amp;utm_source=GD110817&amp;cm_mmc=EMC-GD110817-_-landing-_-Item-_-22-145-881" TargetMode="External"/><Relationship Id="rId10" Type="http://schemas.openxmlformats.org/officeDocument/2006/relationships/hyperlink" Target="https://www.seagate.com/internal-hard-drives/hdd/barracuda/" TargetMode="External"/><Relationship Id="rId31" Type="http://schemas.openxmlformats.org/officeDocument/2006/relationships/hyperlink" Target="http://www.hgst.com/sites/default/files/resources/HGST-Helium-Technology-BR03.pdf" TargetMode="External"/><Relationship Id="rId44" Type="http://schemas.openxmlformats.org/officeDocument/2006/relationships/hyperlink" Target="https://toshiba.semicon-storage.com/us/product/storage-products/enterprise-hdd/mg06acaxxxx.html" TargetMode="External"/><Relationship Id="rId52" Type="http://schemas.openxmlformats.org/officeDocument/2006/relationships/hyperlink" Target="https://www.newegg.com/Product/Product.aspx?item=N82E16822236599" TargetMode="External"/><Relationship Id="rId60" Type="http://schemas.openxmlformats.org/officeDocument/2006/relationships/hyperlink" Target="https://www.newegg.com/Product/Product.aspx?Item=9SIA75M5XX1494" TargetMode="External"/><Relationship Id="rId65" Type="http://schemas.openxmlformats.org/officeDocument/2006/relationships/hyperlink" Target="https://www.hgst.com/sites/default/files/resources/UltrastarHa10-SAS-OEMSpec-r2.1.pdf" TargetMode="External"/><Relationship Id="rId73" Type="http://schemas.openxmlformats.org/officeDocument/2006/relationships/hyperlink" Target="https://www.newegg.com/Product/Product.aspx?item=1B0-0020-000G1" TargetMode="External"/><Relationship Id="rId78" Type="http://schemas.openxmlformats.org/officeDocument/2006/relationships/hyperlink" Target="https://www.newegg.com/Product/Product.aspx?item=N82E16822172026" TargetMode="External"/><Relationship Id="rId81" Type="http://schemas.openxmlformats.org/officeDocument/2006/relationships/hyperlink" Target="https://www.newegg.com/Product/Product.aspx?item=N82E16822179102" TargetMode="External"/><Relationship Id="rId86" Type="http://schemas.openxmlformats.org/officeDocument/2006/relationships/hyperlink" Target="https://www.newegg.com/Product/Product.aspx?item=N82E16822179004" TargetMode="External"/><Relationship Id="rId94" Type="http://schemas.openxmlformats.org/officeDocument/2006/relationships/drawing" Target="../drawings/drawing1.xml"/><Relationship Id="rId4" Type="http://schemas.openxmlformats.org/officeDocument/2006/relationships/hyperlink" Target="https://www.hgst.com/products/hard-drives/ultrastar-c10k1800" TargetMode="External"/><Relationship Id="rId9" Type="http://schemas.openxmlformats.org/officeDocument/2006/relationships/hyperlink" Target="https://www.seagate.com/internal-hard-drives/hdd/barracuda/" TargetMode="External"/><Relationship Id="rId13" Type="http://schemas.openxmlformats.org/officeDocument/2006/relationships/hyperlink" Target="https://www.seagate.com/files/www-content/datasheets/pdfs/exos-10e2400DS1959-1-1709US-en_US.pdf" TargetMode="External"/><Relationship Id="rId18" Type="http://schemas.openxmlformats.org/officeDocument/2006/relationships/hyperlink" Target="https://www.wdc.com/content/dam/wdc/website/downloadable_assets/eng/spec_data_sheet/2879-800022.pdf" TargetMode="External"/><Relationship Id="rId39" Type="http://schemas.openxmlformats.org/officeDocument/2006/relationships/hyperlink" Target="https://www.toshiba-storage.com/products/n300/?pdf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2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B143"/>
  <sheetViews>
    <sheetView tabSelected="1" zoomScale="96" zoomScaleNormal="96" workbookViewId="0">
      <pane ySplit="2" topLeftCell="A3" activePane="bottomLeft" state="frozen"/>
      <selection pane="bottomLeft" activeCell="A11" sqref="A11"/>
    </sheetView>
  </sheetViews>
  <sheetFormatPr defaultRowHeight="15"/>
  <cols>
    <col min="1" max="1" width="10.85546875" bestFit="1" customWidth="1"/>
    <col min="2" max="2" width="8.28515625" customWidth="1"/>
    <col min="3" max="3" width="20.7109375" bestFit="1" customWidth="1"/>
    <col min="4" max="5" width="7.5703125" customWidth="1"/>
    <col min="6" max="6" width="7.140625" style="4" customWidth="1"/>
    <col min="7" max="9" width="7.85546875" customWidth="1"/>
    <col min="11" max="11" width="10.85546875" customWidth="1"/>
    <col min="12" max="12" width="8.85546875" customWidth="1"/>
    <col min="13" max="13" width="8.140625" customWidth="1"/>
    <col min="14" max="14" width="9.28515625" customWidth="1"/>
    <col min="15" max="18" width="9.7109375" customWidth="1"/>
    <col min="19" max="19" width="11.28515625" customWidth="1"/>
    <col min="20" max="20" width="8.85546875" customWidth="1"/>
    <col min="21" max="21" width="10.140625" customWidth="1"/>
    <col min="22" max="22" width="8.85546875" customWidth="1"/>
    <col min="23" max="24" width="10.42578125" customWidth="1"/>
    <col min="25" max="25" width="9" bestFit="1" customWidth="1"/>
    <col min="26" max="26" width="10.42578125" style="3" customWidth="1"/>
    <col min="27" max="27" width="9.42578125" style="3" customWidth="1"/>
    <col min="28" max="29" width="26.42578125" customWidth="1"/>
  </cols>
  <sheetData>
    <row r="1" spans="1:28" ht="15.75" thickBot="1">
      <c r="A1" s="185" t="s">
        <v>94</v>
      </c>
      <c r="B1" s="186"/>
      <c r="C1" s="186"/>
      <c r="D1" s="186"/>
      <c r="E1" s="186"/>
      <c r="F1" s="187"/>
      <c r="G1" s="182" t="s">
        <v>69</v>
      </c>
      <c r="H1" s="183"/>
      <c r="I1" s="183"/>
      <c r="J1" s="183"/>
      <c r="K1" s="184"/>
      <c r="L1" s="174" t="s">
        <v>123</v>
      </c>
      <c r="M1" s="175"/>
      <c r="N1" s="175"/>
      <c r="O1" s="175"/>
      <c r="P1" s="176"/>
      <c r="Q1" s="177" t="s">
        <v>71</v>
      </c>
      <c r="R1" s="178"/>
      <c r="S1" s="178"/>
      <c r="T1" s="178"/>
      <c r="U1" s="179"/>
      <c r="V1" s="179"/>
      <c r="W1" s="172" t="s">
        <v>34</v>
      </c>
      <c r="X1" s="173"/>
      <c r="Y1" s="170" t="s">
        <v>38</v>
      </c>
      <c r="Z1" s="171"/>
      <c r="AA1" s="171"/>
      <c r="AB1" s="40"/>
    </row>
    <row r="2" spans="1:28" s="2" customFormat="1" ht="15.75" thickBot="1">
      <c r="A2" s="8" t="s">
        <v>0</v>
      </c>
      <c r="B2" s="8" t="s">
        <v>1</v>
      </c>
      <c r="C2" s="8" t="s">
        <v>4</v>
      </c>
      <c r="D2" s="36" t="s">
        <v>50</v>
      </c>
      <c r="E2" s="9" t="s">
        <v>89</v>
      </c>
      <c r="F2" s="9" t="s">
        <v>27</v>
      </c>
      <c r="G2" s="66" t="s">
        <v>7</v>
      </c>
      <c r="H2" s="9" t="s">
        <v>66</v>
      </c>
      <c r="I2" s="9" t="s">
        <v>68</v>
      </c>
      <c r="J2" s="37" t="s">
        <v>65</v>
      </c>
      <c r="K2" s="67" t="s">
        <v>64</v>
      </c>
      <c r="L2" s="37" t="s">
        <v>124</v>
      </c>
      <c r="M2" s="26" t="s">
        <v>63</v>
      </c>
      <c r="N2" s="26" t="s">
        <v>62</v>
      </c>
      <c r="O2" s="26" t="s">
        <v>60</v>
      </c>
      <c r="P2" s="36" t="s">
        <v>61</v>
      </c>
      <c r="Q2" s="38" t="s">
        <v>37</v>
      </c>
      <c r="R2" s="26" t="s">
        <v>8</v>
      </c>
      <c r="S2" s="26" t="s">
        <v>9</v>
      </c>
      <c r="T2" s="36" t="s">
        <v>31</v>
      </c>
      <c r="U2" s="37" t="s">
        <v>21</v>
      </c>
      <c r="V2" s="36" t="s">
        <v>48</v>
      </c>
      <c r="W2" s="156" t="s">
        <v>2</v>
      </c>
      <c r="X2" s="39" t="s">
        <v>3</v>
      </c>
      <c r="Y2" s="38" t="s">
        <v>33</v>
      </c>
      <c r="Z2" s="26" t="s">
        <v>49</v>
      </c>
      <c r="AA2" s="39" t="s">
        <v>20</v>
      </c>
      <c r="AB2" s="13" t="s">
        <v>42</v>
      </c>
    </row>
    <row r="3" spans="1:28" ht="15.75" thickTop="1">
      <c r="A3" s="1">
        <v>43036</v>
      </c>
      <c r="B3" t="s">
        <v>15</v>
      </c>
      <c r="C3" s="127" t="s">
        <v>16</v>
      </c>
      <c r="D3" s="33" t="s">
        <v>51</v>
      </c>
      <c r="E3" s="109">
        <v>3.5</v>
      </c>
      <c r="F3" s="95">
        <v>4</v>
      </c>
      <c r="G3" s="47">
        <v>7200</v>
      </c>
      <c r="H3" s="5"/>
      <c r="I3" s="5">
        <v>11.99</v>
      </c>
      <c r="J3" s="68">
        <f>(Table5[[#This Row],[RPM]]/5400-1)</f>
        <v>0.33333333333333326</v>
      </c>
      <c r="K3" s="50">
        <v>202</v>
      </c>
      <c r="L3">
        <v>3</v>
      </c>
      <c r="M3" s="42">
        <v>600000</v>
      </c>
      <c r="O3" s="42">
        <v>1000000</v>
      </c>
      <c r="P3" s="41">
        <f t="shared" ref="P3:P6" si="0">10^14</f>
        <v>100000000000000</v>
      </c>
      <c r="Q3" s="59">
        <f t="shared" ref="Q3:Q6" si="1">1.2*5+2*12</f>
        <v>30</v>
      </c>
      <c r="R3" s="5"/>
      <c r="S3" s="5">
        <v>7.3</v>
      </c>
      <c r="T3" s="140"/>
      <c r="U3" s="144"/>
      <c r="V3" s="144"/>
      <c r="W3" s="157">
        <f>219.99/2</f>
        <v>109.995</v>
      </c>
      <c r="X3" s="10">
        <f>Table5[[#This Row],[Cost]]/Table5[[#This Row],[SizTB]]</f>
        <v>27.498750000000001</v>
      </c>
      <c r="Y3" s="11">
        <f>Table5[[#This Row],[Cost]]+((CompareWarrYrs-Table5[[#This Row],[S]])*(Incremental_Warr_Yr*Table5[[#This Row],[Cost]]))</f>
        <v>134.19390000000001</v>
      </c>
      <c r="Z3" s="6">
        <f>Table5[[#This Row],[$+Warr]]/Table5[[#This Row],[SizTB]]</f>
        <v>33.548475000000003</v>
      </c>
      <c r="AA3" s="10">
        <f>Table5[[#This Row],[$PerTB]]/CompareWarrYrs</f>
        <v>6.7096950000000009</v>
      </c>
      <c r="AB3" s="93" t="s">
        <v>82</v>
      </c>
    </row>
    <row r="4" spans="1:28">
      <c r="A4" s="1">
        <v>43046</v>
      </c>
      <c r="B4" t="s">
        <v>15</v>
      </c>
      <c r="C4" s="127" t="s">
        <v>16</v>
      </c>
      <c r="D4" s="33" t="s">
        <v>51</v>
      </c>
      <c r="E4" s="109">
        <v>3.5</v>
      </c>
      <c r="F4" s="95">
        <v>6</v>
      </c>
      <c r="G4" s="48">
        <v>7200</v>
      </c>
      <c r="H4" s="5"/>
      <c r="I4" s="5">
        <v>11.99</v>
      </c>
      <c r="J4" s="68">
        <f>(Table5[[#This Row],[RPM]]/5400-1)</f>
        <v>0.33333333333333326</v>
      </c>
      <c r="K4" s="51">
        <v>227</v>
      </c>
      <c r="L4">
        <v>3</v>
      </c>
      <c r="M4" s="42">
        <v>600000</v>
      </c>
      <c r="O4" s="42">
        <v>1000000</v>
      </c>
      <c r="P4" s="41">
        <f t="shared" si="0"/>
        <v>100000000000000</v>
      </c>
      <c r="Q4" s="59">
        <f t="shared" si="1"/>
        <v>30</v>
      </c>
      <c r="R4" s="5"/>
      <c r="S4" s="5">
        <v>7.3</v>
      </c>
      <c r="T4" s="140"/>
      <c r="U4" s="145"/>
      <c r="V4" s="144"/>
      <c r="W4" s="157">
        <v>178.99</v>
      </c>
      <c r="X4" s="10">
        <f>Table5[[#This Row],[Cost]]/Table5[[#This Row],[SizTB]]</f>
        <v>29.831666666666667</v>
      </c>
      <c r="Y4" s="11">
        <f>Table5[[#This Row],[Cost]]+((CompareWarrYrs-Table5[[#This Row],[S]])*(Incremental_Warr_Yr*Table5[[#This Row],[Cost]]))</f>
        <v>218.36780000000002</v>
      </c>
      <c r="Z4" s="6">
        <f>Table5[[#This Row],[$+Warr]]/Table5[[#This Row],[SizTB]]</f>
        <v>36.394633333333338</v>
      </c>
      <c r="AA4" s="10">
        <f>Table5[[#This Row],[$PerTB]]/CompareWarrYrs</f>
        <v>7.2789266666666679</v>
      </c>
      <c r="AB4" s="94" t="s">
        <v>80</v>
      </c>
    </row>
    <row r="5" spans="1:28">
      <c r="A5" s="1">
        <v>43041</v>
      </c>
      <c r="B5" t="s">
        <v>15</v>
      </c>
      <c r="C5" s="127" t="s">
        <v>16</v>
      </c>
      <c r="D5" s="33" t="s">
        <v>51</v>
      </c>
      <c r="E5" s="109">
        <v>3.5</v>
      </c>
      <c r="F5" s="95">
        <v>8</v>
      </c>
      <c r="G5" s="48">
        <v>7200</v>
      </c>
      <c r="H5" s="5"/>
      <c r="I5" s="5">
        <v>11.99</v>
      </c>
      <c r="J5" s="68">
        <f>(Table5[[#This Row],[RPM]]/5400-1)</f>
        <v>0.33333333333333326</v>
      </c>
      <c r="K5" s="51">
        <v>205</v>
      </c>
      <c r="L5">
        <v>3</v>
      </c>
      <c r="M5" s="42">
        <v>600000</v>
      </c>
      <c r="O5" s="42">
        <v>1000000</v>
      </c>
      <c r="P5" s="41">
        <f t="shared" si="0"/>
        <v>100000000000000</v>
      </c>
      <c r="Q5" s="59">
        <f t="shared" si="1"/>
        <v>30</v>
      </c>
      <c r="R5" s="5"/>
      <c r="S5" s="5">
        <v>5.0999999999999996</v>
      </c>
      <c r="T5" s="140"/>
      <c r="U5" s="145"/>
      <c r="V5" s="144"/>
      <c r="W5" s="157">
        <v>229.99</v>
      </c>
      <c r="X5" s="10">
        <f>Table5[[#This Row],[Cost]]/Table5[[#This Row],[SizTB]]</f>
        <v>28.748750000000001</v>
      </c>
      <c r="Y5" s="11">
        <f>Table5[[#This Row],[Cost]]+((CompareWarrYrs-Table5[[#This Row],[S]])*(Incremental_Warr_Yr*Table5[[#This Row],[Cost]]))</f>
        <v>280.58780000000002</v>
      </c>
      <c r="Z5" s="6">
        <f>Table5[[#This Row],[$+Warr]]/Table5[[#This Row],[SizTB]]</f>
        <v>35.073475000000002</v>
      </c>
      <c r="AA5" s="10">
        <f>Table5[[#This Row],[$PerTB]]/CompareWarrYrs</f>
        <v>7.0146950000000006</v>
      </c>
      <c r="AB5" s="46"/>
    </row>
    <row r="6" spans="1:28">
      <c r="A6" s="1">
        <v>43043</v>
      </c>
      <c r="B6" t="s">
        <v>15</v>
      </c>
      <c r="C6" s="127" t="s">
        <v>16</v>
      </c>
      <c r="D6" s="33" t="s">
        <v>51</v>
      </c>
      <c r="E6" s="109">
        <v>3.5</v>
      </c>
      <c r="F6" s="95">
        <v>10</v>
      </c>
      <c r="G6" s="48">
        <v>7200</v>
      </c>
      <c r="H6" s="5"/>
      <c r="I6" s="5">
        <v>11.99</v>
      </c>
      <c r="J6" s="68">
        <f>(Table5[[#This Row],[RPM]]/5400-1)</f>
        <v>0.33333333333333326</v>
      </c>
      <c r="K6" s="51">
        <v>240</v>
      </c>
      <c r="L6">
        <v>3</v>
      </c>
      <c r="M6" s="42">
        <v>600000</v>
      </c>
      <c r="O6" s="42">
        <v>1000000</v>
      </c>
      <c r="P6" s="41">
        <f t="shared" si="0"/>
        <v>100000000000000</v>
      </c>
      <c r="Q6" s="59">
        <f t="shared" si="1"/>
        <v>30</v>
      </c>
      <c r="R6" s="5"/>
      <c r="S6" s="5">
        <v>5.0999999999999996</v>
      </c>
      <c r="T6" s="140"/>
      <c r="U6" s="145"/>
      <c r="V6" s="144"/>
      <c r="W6" s="157">
        <v>299.99</v>
      </c>
      <c r="X6" s="10">
        <f>Table5[[#This Row],[Cost]]/Table5[[#This Row],[SizTB]]</f>
        <v>29.999000000000002</v>
      </c>
      <c r="Y6" s="11">
        <f>Table5[[#This Row],[Cost]]+((CompareWarrYrs-Table5[[#This Row],[S]])*(Incremental_Warr_Yr*Table5[[#This Row],[Cost]]))</f>
        <v>365.98779999999999</v>
      </c>
      <c r="Z6" s="6">
        <f>Table5[[#This Row],[$+Warr]]/Table5[[#This Row],[SizTB]]</f>
        <v>36.598779999999998</v>
      </c>
      <c r="AA6" s="10">
        <f>Table5[[#This Row],[$PerTB]]/CompareWarrYrs</f>
        <v>7.3197559999999999</v>
      </c>
      <c r="AB6" s="46"/>
    </row>
    <row r="7" spans="1:28">
      <c r="A7" s="1">
        <v>43005</v>
      </c>
      <c r="B7" t="s">
        <v>15</v>
      </c>
      <c r="C7" s="127" t="s">
        <v>93</v>
      </c>
      <c r="D7" s="33"/>
      <c r="E7" s="109">
        <v>2.5</v>
      </c>
      <c r="F7" s="95">
        <v>1</v>
      </c>
      <c r="G7" s="48">
        <v>5400</v>
      </c>
      <c r="H7" s="5">
        <v>5.5</v>
      </c>
      <c r="I7" s="5">
        <v>12</v>
      </c>
      <c r="J7" s="68">
        <f>(Table5[[#This Row],[RPM]]/5400-1)</f>
        <v>0</v>
      </c>
      <c r="K7" s="51">
        <v>99</v>
      </c>
      <c r="L7">
        <v>3</v>
      </c>
      <c r="M7" s="42">
        <v>600000</v>
      </c>
      <c r="O7" s="42"/>
      <c r="P7" s="41"/>
      <c r="Q7" s="59">
        <v>4.5</v>
      </c>
      <c r="R7" s="5">
        <v>1.6</v>
      </c>
      <c r="S7" s="5">
        <v>0.8</v>
      </c>
      <c r="T7" s="140">
        <v>0.2</v>
      </c>
      <c r="U7" s="144"/>
      <c r="V7" s="144"/>
      <c r="W7" s="157">
        <v>49.99</v>
      </c>
      <c r="X7" s="10">
        <f>Table5[[#This Row],[Cost]]/Table5[[#This Row],[SizTB]]</f>
        <v>49.99</v>
      </c>
      <c r="Y7" s="11">
        <f>Table5[[#This Row],[Cost]]+((CompareWarrYrs-Table5[[#This Row],[S]])*(Incremental_Warr_Yr*Table5[[#This Row],[Cost]]))</f>
        <v>60.9878</v>
      </c>
      <c r="Z7" s="6">
        <f>Table5[[#This Row],[$+Warr]]/Table5[[#This Row],[SizTB]]</f>
        <v>60.9878</v>
      </c>
      <c r="AA7" s="10">
        <f>Table5[[#This Row],[$PerTB]]/CompareWarrYrs</f>
        <v>12.197559999999999</v>
      </c>
      <c r="AB7" s="46"/>
    </row>
    <row r="8" spans="1:28">
      <c r="A8" s="1">
        <v>43047</v>
      </c>
      <c r="B8" t="s">
        <v>15</v>
      </c>
      <c r="C8" s="127" t="s">
        <v>92</v>
      </c>
      <c r="D8" s="33"/>
      <c r="E8" s="109">
        <v>2.5</v>
      </c>
      <c r="F8" s="95">
        <v>1</v>
      </c>
      <c r="G8" s="48">
        <v>7200</v>
      </c>
      <c r="H8" s="5">
        <v>4.2</v>
      </c>
      <c r="I8" s="5">
        <v>12</v>
      </c>
      <c r="J8" s="68">
        <f>(Table5[[#This Row],[RPM]]/5400-1)</f>
        <v>0.33333333333333326</v>
      </c>
      <c r="K8" s="51">
        <v>128</v>
      </c>
      <c r="L8">
        <v>3</v>
      </c>
      <c r="M8" s="42">
        <v>600000</v>
      </c>
      <c r="O8" s="42"/>
      <c r="P8" s="41"/>
      <c r="Q8" s="59">
        <v>5.5</v>
      </c>
      <c r="R8" s="5">
        <v>2.7</v>
      </c>
      <c r="S8" s="5">
        <v>2</v>
      </c>
      <c r="T8" s="140">
        <v>0.2</v>
      </c>
      <c r="U8" s="144"/>
      <c r="V8" s="144"/>
      <c r="W8" s="158">
        <v>49.99</v>
      </c>
      <c r="X8" s="10">
        <f>Table5[[#This Row],[Cost]]/Table5[[#This Row],[SizTB]]</f>
        <v>49.99</v>
      </c>
      <c r="Y8" s="11">
        <f>Table5[[#This Row],[Cost]]+((CompareWarrYrs-Table5[[#This Row],[S]])*(Incremental_Warr_Yr*Table5[[#This Row],[Cost]]))</f>
        <v>60.9878</v>
      </c>
      <c r="Z8" s="6">
        <f>Table5[[#This Row],[$+Warr]]/Table5[[#This Row],[SizTB]]</f>
        <v>60.9878</v>
      </c>
      <c r="AA8" s="10">
        <f>Table5[[#This Row],[$PerTB]]/CompareWarrYrs</f>
        <v>12.197559999999999</v>
      </c>
      <c r="AB8" s="46"/>
    </row>
    <row r="9" spans="1:28">
      <c r="A9" s="1">
        <v>43053</v>
      </c>
      <c r="B9" t="s">
        <v>15</v>
      </c>
      <c r="C9" s="127" t="s">
        <v>132</v>
      </c>
      <c r="D9" s="33" t="s">
        <v>51</v>
      </c>
      <c r="E9" s="109">
        <v>3.5</v>
      </c>
      <c r="F9" s="95">
        <v>2</v>
      </c>
      <c r="G9" s="48">
        <v>7200</v>
      </c>
      <c r="H9" s="5">
        <v>4.16</v>
      </c>
      <c r="I9" s="5">
        <v>8</v>
      </c>
      <c r="J9" s="68">
        <f>(Table5[[#This Row],[RPM]]/5400-1)</f>
        <v>0.33333333333333326</v>
      </c>
      <c r="K9" s="51">
        <v>192</v>
      </c>
      <c r="L9">
        <v>5</v>
      </c>
      <c r="M9" s="42">
        <v>600000</v>
      </c>
      <c r="O9" s="42">
        <v>2000000</v>
      </c>
      <c r="P9" s="41">
        <v>1000000000000000</v>
      </c>
      <c r="Q9" s="59"/>
      <c r="R9" s="5">
        <v>9.1</v>
      </c>
      <c r="S9" s="5">
        <v>7.1</v>
      </c>
      <c r="T9" s="140"/>
      <c r="U9" s="144">
        <f>(((Table5[[#This Row],[Watts Active]]*Power_On_Hours_Year/1000)*Active_Duty_Cycle)+((Table5[[#This Row],[Watts Idle]]*Power_On_Hours_Year/1000)*(100%-Active_Duty_Cycle)))*CostPerKWH</f>
        <v>8.2179000000000002</v>
      </c>
      <c r="V9" s="144">
        <f>Table5[Energy$year]/Table5[[#This Row],[SizTB]]</f>
        <v>4.1089500000000001</v>
      </c>
      <c r="W9" s="158">
        <v>146.38</v>
      </c>
      <c r="X9" s="10">
        <f>Table5[[#This Row],[Cost]]/Table5[[#This Row],[SizTB]]</f>
        <v>73.19</v>
      </c>
      <c r="Y9" s="11">
        <f>Table5[[#This Row],[Cost]]+((CompareWarrYrs-Table5[[#This Row],[S]])*(Incremental_Warr_Yr*Table5[[#This Row],[Cost]]))</f>
        <v>146.38</v>
      </c>
      <c r="Z9" s="6">
        <f>Table5[[#This Row],[$+Warr]]/Table5[[#This Row],[SizTB]]</f>
        <v>73.19</v>
      </c>
      <c r="AA9" s="10">
        <f>Table5[[#This Row],[$PerTB]]/CompareWarrYrs</f>
        <v>14.638</v>
      </c>
      <c r="AB9" s="46"/>
    </row>
    <row r="10" spans="1:28">
      <c r="A10" s="1">
        <v>43053</v>
      </c>
      <c r="B10" t="s">
        <v>15</v>
      </c>
      <c r="C10" s="127" t="s">
        <v>132</v>
      </c>
      <c r="D10" s="33" t="s">
        <v>51</v>
      </c>
      <c r="E10" s="109">
        <v>3.5</v>
      </c>
      <c r="F10" s="95">
        <v>4</v>
      </c>
      <c r="G10" s="48">
        <v>7200</v>
      </c>
      <c r="H10" s="5">
        <v>4.16</v>
      </c>
      <c r="I10" s="5">
        <v>8</v>
      </c>
      <c r="J10" s="68">
        <f>(Table5[[#This Row],[RPM]]/5400-1)</f>
        <v>0.33333333333333326</v>
      </c>
      <c r="K10" s="51">
        <v>192</v>
      </c>
      <c r="L10">
        <v>5</v>
      </c>
      <c r="M10" s="42">
        <v>600000</v>
      </c>
      <c r="O10" s="42">
        <v>2000000</v>
      </c>
      <c r="P10" s="41">
        <v>1000000000000000</v>
      </c>
      <c r="Q10" s="59"/>
      <c r="R10" s="5">
        <v>9.1</v>
      </c>
      <c r="S10" s="5">
        <v>7.1</v>
      </c>
      <c r="T10" s="140"/>
      <c r="U10" s="144">
        <f>(((Table5[[#This Row],[Watts Active]]*Power_On_Hours_Year/1000)*Active_Duty_Cycle)+((Table5[[#This Row],[Watts Idle]]*Power_On_Hours_Year/1000)*(100%-Active_Duty_Cycle)))*CostPerKWH</f>
        <v>8.2179000000000002</v>
      </c>
      <c r="V10" s="144">
        <f>Table5[Energy$year]/Table5[[#This Row],[SizTB]]</f>
        <v>2.0544750000000001</v>
      </c>
      <c r="W10" s="158">
        <v>194.85</v>
      </c>
      <c r="X10" s="10">
        <f>Table5[[#This Row],[Cost]]/Table5[[#This Row],[SizTB]]</f>
        <v>48.712499999999999</v>
      </c>
      <c r="Y10" s="11">
        <f>Table5[[#This Row],[Cost]]+((CompareWarrYrs-Table5[[#This Row],[S]])*(Incremental_Warr_Yr*Table5[[#This Row],[Cost]]))</f>
        <v>194.85</v>
      </c>
      <c r="Z10" s="6">
        <f>Table5[[#This Row],[$+Warr]]/Table5[[#This Row],[SizTB]]</f>
        <v>48.712499999999999</v>
      </c>
      <c r="AA10" s="10">
        <f>Table5[[#This Row],[$PerTB]]/CompareWarrYrs</f>
        <v>9.7424999999999997</v>
      </c>
      <c r="AB10" s="46"/>
    </row>
    <row r="11" spans="1:28">
      <c r="A11" s="1">
        <v>43053</v>
      </c>
      <c r="B11" t="s">
        <v>15</v>
      </c>
      <c r="C11" s="127" t="s">
        <v>132</v>
      </c>
      <c r="D11" s="33" t="s">
        <v>51</v>
      </c>
      <c r="E11" s="109">
        <v>3.5</v>
      </c>
      <c r="F11" s="95">
        <v>5</v>
      </c>
      <c r="G11" s="48">
        <v>7200</v>
      </c>
      <c r="H11" s="5">
        <v>4.16</v>
      </c>
      <c r="I11" s="5">
        <v>8</v>
      </c>
      <c r="J11" s="68">
        <f>(Table5[[#This Row],[RPM]]/5400-1)</f>
        <v>0.33333333333333326</v>
      </c>
      <c r="K11" s="51">
        <v>192</v>
      </c>
      <c r="L11">
        <v>5</v>
      </c>
      <c r="M11" s="42">
        <v>600000</v>
      </c>
      <c r="O11" s="42">
        <v>2000000</v>
      </c>
      <c r="P11" s="41">
        <v>1000000000000000</v>
      </c>
      <c r="Q11" s="59"/>
      <c r="R11" s="5">
        <v>9.1</v>
      </c>
      <c r="S11" s="5">
        <v>7.1</v>
      </c>
      <c r="T11" s="140"/>
      <c r="U11" s="144">
        <f>(((Table5[[#This Row],[Watts Active]]*Power_On_Hours_Year/1000)*Active_Duty_Cycle)+((Table5[[#This Row],[Watts Idle]]*Power_On_Hours_Year/1000)*(100%-Active_Duty_Cycle)))*CostPerKWH</f>
        <v>8.2179000000000002</v>
      </c>
      <c r="V11" s="144">
        <f>Table5[Energy$year]/Table5[[#This Row],[SizTB]]</f>
        <v>1.64358</v>
      </c>
      <c r="W11" s="158">
        <v>281.95999999999998</v>
      </c>
      <c r="X11" s="10">
        <f>Table5[[#This Row],[Cost]]/Table5[[#This Row],[SizTB]]</f>
        <v>56.391999999999996</v>
      </c>
      <c r="Y11" s="11">
        <f>Table5[[#This Row],[Cost]]+((CompareWarrYrs-Table5[[#This Row],[S]])*(Incremental_Warr_Yr*Table5[[#This Row],[Cost]]))</f>
        <v>281.95999999999998</v>
      </c>
      <c r="Z11" s="6">
        <f>Table5[[#This Row],[$+Warr]]/Table5[[#This Row],[SizTB]]</f>
        <v>56.391999999999996</v>
      </c>
      <c r="AA11" s="10">
        <f>Table5[[#This Row],[$PerTB]]/CompareWarrYrs</f>
        <v>11.2784</v>
      </c>
      <c r="AB11" s="46"/>
    </row>
    <row r="12" spans="1:28">
      <c r="A12" s="1">
        <v>43053</v>
      </c>
      <c r="B12" t="s">
        <v>15</v>
      </c>
      <c r="C12" s="127" t="s">
        <v>132</v>
      </c>
      <c r="D12" s="33" t="s">
        <v>51</v>
      </c>
      <c r="E12" s="109">
        <v>3.5</v>
      </c>
      <c r="F12" s="95">
        <v>6</v>
      </c>
      <c r="G12" s="48">
        <v>7200</v>
      </c>
      <c r="H12" s="5">
        <v>4.16</v>
      </c>
      <c r="I12" s="5">
        <v>8</v>
      </c>
      <c r="J12" s="68">
        <f>(Table5[[#This Row],[RPM]]/5400-1)</f>
        <v>0.33333333333333326</v>
      </c>
      <c r="K12" s="51">
        <v>216</v>
      </c>
      <c r="L12">
        <v>5</v>
      </c>
      <c r="M12" s="42">
        <v>600000</v>
      </c>
      <c r="O12" s="42">
        <v>2000000</v>
      </c>
      <c r="P12" s="41">
        <v>1000000000000000</v>
      </c>
      <c r="Q12" s="59"/>
      <c r="R12" s="5">
        <v>9.1</v>
      </c>
      <c r="S12" s="5">
        <v>7.1</v>
      </c>
      <c r="T12" s="140"/>
      <c r="U12" s="144">
        <f>(((Table5[[#This Row],[Watts Active]]*Power_On_Hours_Year/1000)*Active_Duty_Cycle)+((Table5[[#This Row],[Watts Idle]]*Power_On_Hours_Year/1000)*(100%-Active_Duty_Cycle)))*CostPerKWH</f>
        <v>8.2179000000000002</v>
      </c>
      <c r="V12" s="144">
        <f>Table5[Energy$year]/Table5[[#This Row],[SizTB]]</f>
        <v>1.36965</v>
      </c>
      <c r="W12" s="158">
        <v>257.62</v>
      </c>
      <c r="X12" s="10">
        <f>Table5[[#This Row],[Cost]]/Table5[[#This Row],[SizTB]]</f>
        <v>42.936666666666667</v>
      </c>
      <c r="Y12" s="11">
        <f>Table5[[#This Row],[Cost]]+((CompareWarrYrs-Table5[[#This Row],[S]])*(Incremental_Warr_Yr*Table5[[#This Row],[Cost]]))</f>
        <v>257.62</v>
      </c>
      <c r="Z12" s="6">
        <f>Table5[[#This Row],[$+Warr]]/Table5[[#This Row],[SizTB]]</f>
        <v>42.936666666666667</v>
      </c>
      <c r="AA12" s="10">
        <f>Table5[[#This Row],[$PerTB]]/CompareWarrYrs</f>
        <v>8.5873333333333335</v>
      </c>
      <c r="AB12" s="46"/>
    </row>
    <row r="13" spans="1:28">
      <c r="A13" s="1">
        <v>43033</v>
      </c>
      <c r="B13" t="s">
        <v>15</v>
      </c>
      <c r="C13" s="127" t="s">
        <v>130</v>
      </c>
      <c r="D13" s="33" t="s">
        <v>117</v>
      </c>
      <c r="E13" s="109">
        <v>3.5</v>
      </c>
      <c r="F13" s="95">
        <v>8</v>
      </c>
      <c r="G13" s="48">
        <v>7200</v>
      </c>
      <c r="H13" s="5">
        <v>4.16</v>
      </c>
      <c r="I13" s="5">
        <v>8.5</v>
      </c>
      <c r="J13" s="68">
        <f>(Table5[[#This Row],[RPM]]/5400-1)</f>
        <v>0.33333333333333326</v>
      </c>
      <c r="K13" s="51">
        <v>157</v>
      </c>
      <c r="L13">
        <v>5</v>
      </c>
      <c r="M13" s="42">
        <v>600000</v>
      </c>
      <c r="O13" s="42">
        <v>2000000</v>
      </c>
      <c r="P13" s="41">
        <v>1000000000000000</v>
      </c>
      <c r="Q13" s="59"/>
      <c r="R13" s="5">
        <v>7.6</v>
      </c>
      <c r="S13" s="5">
        <v>5.0999999999999996</v>
      </c>
      <c r="T13" s="140"/>
      <c r="U13" s="144">
        <f>(((Table5[[#This Row],[Watts Active]]*Power_On_Hours_Year/1000)*Active_Duty_Cycle)+((Table5[[#This Row],[Watts Idle]]*Power_On_Hours_Year/1000)*(100%-Active_Duty_Cycle)))*CostPerKWH</f>
        <v>6.1360319999999993</v>
      </c>
      <c r="V13" s="144">
        <f>Table5[Energy$year]/Table5[[#This Row],[SizTB]]</f>
        <v>0.76700399999999991</v>
      </c>
      <c r="W13" s="157">
        <v>373</v>
      </c>
      <c r="X13" s="10">
        <f>Table5[[#This Row],[Cost]]/Table5[[#This Row],[SizTB]]</f>
        <v>46.625</v>
      </c>
      <c r="Y13" s="11">
        <f>Table5[[#This Row],[Cost]]+((CompareWarrYrs-Table5[[#This Row],[S]])*(Incremental_Warr_Yr*Table5[[#This Row],[Cost]]))</f>
        <v>373</v>
      </c>
      <c r="Z13" s="6">
        <f>Table5[[#This Row],[$+Warr]]/Table5[[#This Row],[SizTB]]</f>
        <v>46.625</v>
      </c>
      <c r="AA13" s="10">
        <f>Table5[[#This Row],[$PerTB]]/CompareWarrYrs</f>
        <v>9.3249999999999993</v>
      </c>
      <c r="AB13" s="134" t="s">
        <v>102</v>
      </c>
    </row>
    <row r="14" spans="1:28">
      <c r="A14" s="1">
        <v>43047</v>
      </c>
      <c r="B14" t="s">
        <v>15</v>
      </c>
      <c r="C14" s="127" t="s">
        <v>104</v>
      </c>
      <c r="D14" s="125" t="s">
        <v>51</v>
      </c>
      <c r="E14" s="109">
        <v>2.5</v>
      </c>
      <c r="F14" s="95">
        <v>1.2</v>
      </c>
      <c r="G14" s="48">
        <v>10520</v>
      </c>
      <c r="H14" s="5">
        <v>2.85</v>
      </c>
      <c r="I14" s="5">
        <v>4.4000000000000004</v>
      </c>
      <c r="J14" s="68">
        <f>(Table5[[#This Row],[RPM]]/5400-1)</f>
        <v>0.94814814814814818</v>
      </c>
      <c r="K14" s="51">
        <v>224</v>
      </c>
      <c r="L14">
        <v>5</v>
      </c>
      <c r="M14" s="42"/>
      <c r="O14" s="42">
        <v>2000000</v>
      </c>
      <c r="P14" s="41">
        <v>1E+16</v>
      </c>
      <c r="Q14" s="59"/>
      <c r="R14" s="5">
        <v>6.5</v>
      </c>
      <c r="S14" s="5">
        <v>4.7</v>
      </c>
      <c r="T14" s="140"/>
      <c r="U14" s="144">
        <f>(((Table5[[#This Row],[Watts Active]]*Power_On_Hours_Year/1000)*Active_Duty_Cycle)+((Table5[[#This Row],[Watts Idle]]*Power_On_Hours_Year/1000)*(100%-Active_Duty_Cycle)))*CostPerKWH</f>
        <v>5.5443432000000001</v>
      </c>
      <c r="V14" s="144">
        <f>Table5[Energy$year]/Table5[[#This Row],[SizTB]]</f>
        <v>4.6202860000000001</v>
      </c>
      <c r="W14" s="158">
        <v>170</v>
      </c>
      <c r="X14" s="10">
        <f>Table5[[#This Row],[Cost]]/Table5[[#This Row],[SizTB]]</f>
        <v>141.66666666666669</v>
      </c>
      <c r="Y14" s="11">
        <f>Table5[[#This Row],[Cost]]+((CompareWarrYrs-Table5[[#This Row],[S]])*(Incremental_Warr_Yr*Table5[[#This Row],[Cost]]))</f>
        <v>170</v>
      </c>
      <c r="Z14" s="6">
        <f>Table5[[#This Row],[$+Warr]]/Table5[[#This Row],[SizTB]]</f>
        <v>141.66666666666669</v>
      </c>
      <c r="AA14" s="10">
        <f>Table5[[#This Row],[$PerTB]]/CompareWarrYrs</f>
        <v>28.333333333333336</v>
      </c>
      <c r="AB14" s="46"/>
    </row>
    <row r="15" spans="1:28">
      <c r="A15" s="1">
        <v>43047</v>
      </c>
      <c r="B15" t="s">
        <v>15</v>
      </c>
      <c r="C15" s="127" t="s">
        <v>90</v>
      </c>
      <c r="D15" s="125" t="s">
        <v>51</v>
      </c>
      <c r="E15" s="109">
        <v>2.5</v>
      </c>
      <c r="F15" s="95">
        <v>1.8</v>
      </c>
      <c r="G15" s="48">
        <v>10520</v>
      </c>
      <c r="H15" s="5">
        <v>2.85</v>
      </c>
      <c r="I15" s="5">
        <v>4.4000000000000004</v>
      </c>
      <c r="J15" s="68">
        <f>(Table5[[#This Row],[RPM]]/5400-1)</f>
        <v>0.94814814814814818</v>
      </c>
      <c r="K15" s="51">
        <v>224</v>
      </c>
      <c r="L15">
        <v>5</v>
      </c>
      <c r="M15" s="42"/>
      <c r="O15" s="42">
        <v>2000000</v>
      </c>
      <c r="P15" s="41">
        <v>1E+16</v>
      </c>
      <c r="Q15" s="59"/>
      <c r="R15" s="5">
        <v>6.6</v>
      </c>
      <c r="S15" s="5">
        <v>4.7</v>
      </c>
      <c r="T15" s="140"/>
      <c r="U15" s="144">
        <f>(((Table5[[#This Row],[Watts Active]]*Power_On_Hours_Year/1000)*Active_Duty_Cycle)+((Table5[[#This Row],[Watts Idle]]*Power_On_Hours_Year/1000)*(100%-Active_Duty_Cycle)))*CostPerKWH</f>
        <v>5.5662576000000001</v>
      </c>
      <c r="V15" s="144">
        <f>Table5[Energy$year]/Table5[[#This Row],[SizTB]]</f>
        <v>3.0923653333333334</v>
      </c>
      <c r="W15" s="158">
        <v>229.99</v>
      </c>
      <c r="X15" s="10">
        <f>Table5[[#This Row],[Cost]]/Table5[[#This Row],[SizTB]]</f>
        <v>127.77222222222223</v>
      </c>
      <c r="Y15" s="11">
        <f>Table5[[#This Row],[Cost]]+((CompareWarrYrs-Table5[[#This Row],[S]])*(Incremental_Warr_Yr*Table5[[#This Row],[Cost]]))</f>
        <v>229.99</v>
      </c>
      <c r="Z15" s="6">
        <f>Table5[[#This Row],[$+Warr]]/Table5[[#This Row],[SizTB]]</f>
        <v>127.77222222222223</v>
      </c>
      <c r="AA15" s="10">
        <f>Table5[[#This Row],[$PerTB]]/CompareWarrYrs</f>
        <v>25.554444444444446</v>
      </c>
      <c r="AB15" s="46"/>
    </row>
    <row r="16" spans="1:28">
      <c r="A16" s="1">
        <v>43050</v>
      </c>
      <c r="B16" t="s">
        <v>15</v>
      </c>
      <c r="C16" s="127" t="s">
        <v>91</v>
      </c>
      <c r="D16" s="125" t="s">
        <v>51</v>
      </c>
      <c r="E16" s="109">
        <v>2.5</v>
      </c>
      <c r="F16" s="95">
        <v>0.6</v>
      </c>
      <c r="G16" s="48">
        <v>15030</v>
      </c>
      <c r="H16" s="5">
        <v>1.99</v>
      </c>
      <c r="I16" s="5">
        <v>3.1</v>
      </c>
      <c r="J16" s="68">
        <f>(Table5[[#This Row],[RPM]]/5400-1)</f>
        <v>1.7833333333333332</v>
      </c>
      <c r="K16" s="51">
        <v>250</v>
      </c>
      <c r="L16">
        <v>5</v>
      </c>
      <c r="M16" s="42"/>
      <c r="O16" s="42">
        <v>2000000</v>
      </c>
      <c r="P16" s="41">
        <v>1E+17</v>
      </c>
      <c r="Q16" s="59"/>
      <c r="R16" s="5">
        <v>7.5</v>
      </c>
      <c r="S16" s="5">
        <v>5.8</v>
      </c>
      <c r="T16" s="140"/>
      <c r="U16" s="144">
        <f>(((Table5[[#This Row],[Watts Active]]*Power_On_Hours_Year/1000)*Active_Duty_Cycle)+((Table5[[#This Row],[Watts Idle]]*Power_On_Hours_Year/1000)*(100%-Active_Duty_Cycle)))*CostPerKWH</f>
        <v>6.7277208000000002</v>
      </c>
      <c r="V16" s="144">
        <f>Table5[Energy$year]/Table5[[#This Row],[SizTB]]</f>
        <v>11.212868</v>
      </c>
      <c r="W16" s="158">
        <v>189.95</v>
      </c>
      <c r="X16" s="10">
        <f>Table5[[#This Row],[Cost]]/Table5[[#This Row],[SizTB]]</f>
        <v>316.58333333333331</v>
      </c>
      <c r="Y16" s="11">
        <f>Table5[[#This Row],[Cost]]+((CompareWarrYrs-Table5[[#This Row],[S]])*(Incremental_Warr_Yr*Table5[[#This Row],[Cost]]))</f>
        <v>189.95</v>
      </c>
      <c r="Z16" s="6">
        <f>Table5[[#This Row],[$+Warr]]/Table5[[#This Row],[SizTB]]</f>
        <v>316.58333333333331</v>
      </c>
      <c r="AA16" s="10">
        <f>Table5[[#This Row],[$PerTB]]/CompareWarrYrs</f>
        <v>63.316666666666663</v>
      </c>
      <c r="AB16" s="134" t="s">
        <v>125</v>
      </c>
    </row>
    <row r="17" spans="1:28">
      <c r="A17" s="1">
        <v>43019</v>
      </c>
      <c r="B17" t="s">
        <v>15</v>
      </c>
      <c r="C17" s="127" t="s">
        <v>131</v>
      </c>
      <c r="D17" s="33" t="s">
        <v>51</v>
      </c>
      <c r="E17" s="109">
        <v>3.5</v>
      </c>
      <c r="F17" s="95">
        <v>6</v>
      </c>
      <c r="G17" s="48">
        <v>7200</v>
      </c>
      <c r="H17" s="5">
        <v>4.16</v>
      </c>
      <c r="I17" s="5">
        <v>9</v>
      </c>
      <c r="J17" s="68">
        <f>(Table5[[#This Row],[RPM]]/5400-1)</f>
        <v>0.33333333333333326</v>
      </c>
      <c r="K17" s="51">
        <v>195</v>
      </c>
      <c r="L17">
        <v>5</v>
      </c>
      <c r="M17" s="42">
        <v>600000</v>
      </c>
      <c r="N17">
        <v>550</v>
      </c>
      <c r="O17" s="42">
        <v>2500000</v>
      </c>
      <c r="P17" s="41">
        <v>1000000000000000</v>
      </c>
      <c r="Q17" s="59"/>
      <c r="R17" s="5">
        <v>7.4</v>
      </c>
      <c r="S17" s="5">
        <v>5.0999999999999996</v>
      </c>
      <c r="T17" s="140"/>
      <c r="U17" s="144">
        <f>(((Table5[[#This Row],[Watts Active]]*Power_On_Hours_Year/1000)*Active_Duty_Cycle)+((Table5[[#This Row],[Watts Idle]]*Power_On_Hours_Year/1000)*(100%-Active_Duty_Cycle)))*CostPerKWH</f>
        <v>6.0922031999999993</v>
      </c>
      <c r="V17" s="144">
        <f>Table5[Energy$year]/Table5[[#This Row],[SizTB]]</f>
        <v>1.0153671999999998</v>
      </c>
      <c r="W17" s="158">
        <v>169.99</v>
      </c>
      <c r="X17" s="10">
        <f>Table5[[#This Row],[Cost]]/Table5[[#This Row],[SizTB]]</f>
        <v>28.331666666666667</v>
      </c>
      <c r="Y17" s="11">
        <f>Table5[[#This Row],[Cost]]+((CompareWarrYrs-Table5[[#This Row],[S]])*(Incremental_Warr_Yr*Table5[[#This Row],[Cost]]))</f>
        <v>169.99</v>
      </c>
      <c r="Z17" s="6">
        <f>Table5[[#This Row],[$+Warr]]/Table5[[#This Row],[SizTB]]</f>
        <v>28.331666666666667</v>
      </c>
      <c r="AA17" s="10">
        <f>Table5[[#This Row],[$PerTB]]/CompareWarrYrs</f>
        <v>5.6663333333333332</v>
      </c>
      <c r="AB17" s="134" t="s">
        <v>39</v>
      </c>
    </row>
    <row r="18" spans="1:28" ht="17.25">
      <c r="A18" s="1">
        <v>43050</v>
      </c>
      <c r="B18" t="s">
        <v>15</v>
      </c>
      <c r="C18" s="98" t="s">
        <v>81</v>
      </c>
      <c r="D18" s="33" t="s">
        <v>51</v>
      </c>
      <c r="E18" s="109">
        <v>3.5</v>
      </c>
      <c r="F18" s="95">
        <v>8</v>
      </c>
      <c r="G18" s="48">
        <v>7200</v>
      </c>
      <c r="H18" s="5">
        <v>4.16</v>
      </c>
      <c r="I18" s="5">
        <v>8.5</v>
      </c>
      <c r="J18" s="68">
        <f>(Table5[[#This Row],[RPM]]/5400-1)</f>
        <v>0.33333333333333326</v>
      </c>
      <c r="K18" s="51">
        <v>237</v>
      </c>
      <c r="L18">
        <v>5</v>
      </c>
      <c r="M18" s="42">
        <v>600000</v>
      </c>
      <c r="N18">
        <v>550</v>
      </c>
      <c r="O18" s="42">
        <v>2500000</v>
      </c>
      <c r="P18" s="41">
        <v>1000000000000000</v>
      </c>
      <c r="Q18" s="59"/>
      <c r="R18" s="5">
        <v>7.4</v>
      </c>
      <c r="S18" s="5">
        <v>5.0999999999999996</v>
      </c>
      <c r="T18" s="140"/>
      <c r="U18" s="144">
        <f>(((Table5[[#This Row],[Watts Active]]*Power_On_Hours_Year/1000)*Active_Duty_Cycle)+((Table5[[#This Row],[Watts Idle]]*Power_On_Hours_Year/1000)*(100%-Active_Duty_Cycle)))*CostPerKWH</f>
        <v>6.0922031999999993</v>
      </c>
      <c r="V18" s="144">
        <f>Table5[Energy$year]/Table5[[#This Row],[SizTB]]</f>
        <v>0.76152539999999991</v>
      </c>
      <c r="W18" s="157">
        <v>285</v>
      </c>
      <c r="X18" s="10">
        <f>Table5[[#This Row],[Cost]]/Table5[[#This Row],[SizTB]]</f>
        <v>35.625</v>
      </c>
      <c r="Y18" s="11">
        <f>Table5[[#This Row],[Cost]]+((CompareWarrYrs-Table5[[#This Row],[S]])*(Incremental_Warr_Yr*Table5[[#This Row],[Cost]]))</f>
        <v>285</v>
      </c>
      <c r="Z18" s="6">
        <f>Table5[[#This Row],[$+Warr]]/Table5[[#This Row],[SizTB]]</f>
        <v>35.625</v>
      </c>
      <c r="AA18" s="10">
        <f>Table5[[#This Row],[$PerTB]]/CompareWarrYrs</f>
        <v>7.125</v>
      </c>
      <c r="AB18" s="134" t="s">
        <v>126</v>
      </c>
    </row>
    <row r="19" spans="1:28" ht="17.25">
      <c r="A19" s="1">
        <v>43005</v>
      </c>
      <c r="B19" t="s">
        <v>15</v>
      </c>
      <c r="C19" s="127" t="s">
        <v>119</v>
      </c>
      <c r="D19" s="33" t="s">
        <v>51</v>
      </c>
      <c r="E19" s="109">
        <v>3.5</v>
      </c>
      <c r="F19" s="95">
        <v>10</v>
      </c>
      <c r="G19" s="48">
        <v>7200</v>
      </c>
      <c r="H19" s="5">
        <v>4.16</v>
      </c>
      <c r="I19" s="5">
        <v>8</v>
      </c>
      <c r="J19" s="68">
        <f>(Table5[[#This Row],[RPM]]/5400-1)</f>
        <v>0.33333333333333326</v>
      </c>
      <c r="K19" s="51">
        <v>237</v>
      </c>
      <c r="L19">
        <v>5</v>
      </c>
      <c r="M19" s="42">
        <v>600000</v>
      </c>
      <c r="N19">
        <v>550</v>
      </c>
      <c r="O19" s="42">
        <v>2500000</v>
      </c>
      <c r="P19" s="41">
        <v>1000000000000000</v>
      </c>
      <c r="Q19" s="59"/>
      <c r="R19" s="5">
        <v>6.8</v>
      </c>
      <c r="S19" s="5">
        <v>5</v>
      </c>
      <c r="T19" s="140"/>
      <c r="U19" s="144">
        <f>(((Table5[[#This Row],[Watts Active]]*Power_On_Hours_Year/1000)*Active_Duty_Cycle)+((Table5[[#This Row],[Watts Idle]]*Power_On_Hours_Year/1000)*(100%-Active_Duty_Cycle)))*CostPerKWH</f>
        <v>5.8730592000000001</v>
      </c>
      <c r="V19" s="144">
        <f>Table5[Energy$year]/Table5[[#This Row],[SizTB]]</f>
        <v>0.58730592000000004</v>
      </c>
      <c r="W19" s="157">
        <v>349.99</v>
      </c>
      <c r="X19" s="10">
        <f>Table5[[#This Row],[Cost]]/Table5[[#This Row],[SizTB]]</f>
        <v>34.999000000000002</v>
      </c>
      <c r="Y19" s="11">
        <f>Table5[[#This Row],[Cost]]+((CompareWarrYrs-Table5[[#This Row],[S]])*(Incremental_Warr_Yr*Table5[[#This Row],[Cost]]))</f>
        <v>349.99</v>
      </c>
      <c r="Z19" s="6">
        <f>Table5[[#This Row],[$+Warr]]/Table5[[#This Row],[SizTB]]</f>
        <v>34.999000000000002</v>
      </c>
      <c r="AA19" s="10">
        <f>Table5[[#This Row],[$PerTB]]/CompareWarrYrs</f>
        <v>6.9998000000000005</v>
      </c>
      <c r="AB19" s="134" t="s">
        <v>39</v>
      </c>
    </row>
    <row r="20" spans="1:28" ht="17.25">
      <c r="A20" s="1">
        <v>43005</v>
      </c>
      <c r="B20" t="s">
        <v>15</v>
      </c>
      <c r="C20" s="127" t="s">
        <v>118</v>
      </c>
      <c r="D20" s="123" t="s">
        <v>51</v>
      </c>
      <c r="E20" s="109">
        <v>3.5</v>
      </c>
      <c r="F20" s="95">
        <v>12</v>
      </c>
      <c r="G20" s="48">
        <v>7200</v>
      </c>
      <c r="H20" s="5">
        <v>4.16</v>
      </c>
      <c r="I20" s="5">
        <v>8.6</v>
      </c>
      <c r="J20" s="68">
        <f>(Table5[[#This Row],[RPM]]/5400-1)</f>
        <v>0.33333333333333326</v>
      </c>
      <c r="K20" s="51">
        <v>243</v>
      </c>
      <c r="L20">
        <v>5</v>
      </c>
      <c r="M20" s="42">
        <v>600000</v>
      </c>
      <c r="N20">
        <v>550</v>
      </c>
      <c r="O20" s="42">
        <v>2500000</v>
      </c>
      <c r="P20" s="41">
        <v>1000000000000000</v>
      </c>
      <c r="Q20" s="59"/>
      <c r="R20" s="5">
        <v>7.2</v>
      </c>
      <c r="S20" s="5">
        <v>5.3</v>
      </c>
      <c r="T20" s="140"/>
      <c r="U20" s="144">
        <f>(((Table5[[#This Row],[Watts Active]]*Power_On_Hours_Year/1000)*Active_Duty_Cycle)+((Table5[[#This Row],[Watts Idle]]*Power_On_Hours_Year/1000)*(100%-Active_Duty_Cycle)))*CostPerKWH</f>
        <v>6.2236896000000002</v>
      </c>
      <c r="V20" s="144">
        <f>Table5[Energy$year]/Table5[[#This Row],[SizTB]]</f>
        <v>0.51864080000000001</v>
      </c>
      <c r="W20" s="157">
        <v>619.98</v>
      </c>
      <c r="X20" s="10">
        <f>Table5[[#This Row],[Cost]]/Table5[[#This Row],[SizTB]]</f>
        <v>51.664999999999999</v>
      </c>
      <c r="Y20" s="11">
        <f>Table5[[#This Row],[Cost]]+((CompareWarrYrs-Table5[[#This Row],[S]])*(Incremental_Warr_Yr*Table5[[#This Row],[Cost]]))</f>
        <v>619.98</v>
      </c>
      <c r="Z20" s="6">
        <f>Table5[[#This Row],[$+Warr]]/Table5[[#This Row],[SizTB]]</f>
        <v>51.664999999999999</v>
      </c>
      <c r="AA20" s="10">
        <f>Table5[[#This Row],[$PerTB]]/CompareWarrYrs</f>
        <v>10.333</v>
      </c>
      <c r="AB20" s="134" t="s">
        <v>39</v>
      </c>
    </row>
    <row r="21" spans="1:28" ht="18" thickBot="1">
      <c r="A21" s="76">
        <v>43021</v>
      </c>
      <c r="B21" s="77" t="s">
        <v>15</v>
      </c>
      <c r="C21" s="126" t="s">
        <v>105</v>
      </c>
      <c r="D21" s="78" t="s">
        <v>117</v>
      </c>
      <c r="E21" s="111">
        <v>3.5</v>
      </c>
      <c r="F21" s="96">
        <v>14</v>
      </c>
      <c r="G21" s="79">
        <v>7200</v>
      </c>
      <c r="H21" s="80">
        <v>4.16</v>
      </c>
      <c r="I21" s="80">
        <v>12</v>
      </c>
      <c r="J21" s="81">
        <f>(Table5[[#This Row],[RPM]]/5400-1)</f>
        <v>0.33333333333333326</v>
      </c>
      <c r="K21" s="82">
        <v>223</v>
      </c>
      <c r="L21" s="77">
        <v>5</v>
      </c>
      <c r="M21" s="83">
        <v>600000</v>
      </c>
      <c r="N21" s="77">
        <v>550</v>
      </c>
      <c r="O21" s="83">
        <v>2500000</v>
      </c>
      <c r="P21" s="84">
        <v>1000000000000000</v>
      </c>
      <c r="Q21" s="85"/>
      <c r="R21" s="80">
        <v>6.4</v>
      </c>
      <c r="S21" s="80">
        <v>5.2</v>
      </c>
      <c r="T21" s="141"/>
      <c r="U21" s="146">
        <f>(((Table5[[#This Row],[Watts Active]]*Power_On_Hours_Year/1000)*Active_Duty_Cycle)+((Table5[[#This Row],[Watts Idle]]*Power_On_Hours_Year/1000)*(100%-Active_Duty_Cycle)))*CostPerKWH</f>
        <v>5.960716800000001</v>
      </c>
      <c r="V21" s="144">
        <f>Table5[Energy$year]/Table5[[#This Row],[SizTB]]</f>
        <v>0.4257654857142858</v>
      </c>
      <c r="W21" s="159"/>
      <c r="X21" s="86">
        <f>Table5[[#This Row],[Cost]]/Table5[[#This Row],[SizTB]]</f>
        <v>0</v>
      </c>
      <c r="Y21" s="87">
        <f>Table5[[#This Row],[Cost]]+((CompareWarrYrs-Table5[[#This Row],[S]])*(Incremental_Warr_Yr*Table5[[#This Row],[Cost]]))</f>
        <v>0</v>
      </c>
      <c r="Z21" s="88">
        <f>Table5[[#This Row],[$+Warr]]/Table5[[#This Row],[SizTB]]</f>
        <v>0</v>
      </c>
      <c r="AA21" s="86">
        <f>Table5[[#This Row],[$PerTB]]/CompareWarrYrs</f>
        <v>0</v>
      </c>
      <c r="AB21" s="135" t="s">
        <v>102</v>
      </c>
    </row>
    <row r="22" spans="1:28" ht="15.75" thickTop="1">
      <c r="A22" s="1">
        <v>43050</v>
      </c>
      <c r="B22" t="s">
        <v>10</v>
      </c>
      <c r="C22" s="127" t="s">
        <v>11</v>
      </c>
      <c r="D22" s="33"/>
      <c r="E22" s="109">
        <v>3.5</v>
      </c>
      <c r="F22" s="95">
        <v>1</v>
      </c>
      <c r="G22" s="48">
        <v>7200</v>
      </c>
      <c r="H22" s="5">
        <v>4.16</v>
      </c>
      <c r="I22" s="5">
        <v>9.5</v>
      </c>
      <c r="J22" s="68">
        <f>(Table5[[#This Row],[RPM]]/5400-1)</f>
        <v>0.33333333333333326</v>
      </c>
      <c r="K22" s="51">
        <v>156</v>
      </c>
      <c r="L22">
        <v>2</v>
      </c>
      <c r="M22" s="42">
        <v>300000</v>
      </c>
      <c r="N22">
        <v>55</v>
      </c>
      <c r="O22" s="42"/>
      <c r="P22" s="41">
        <f t="shared" ref="P22:P30" si="2">10^14</f>
        <v>100000000000000</v>
      </c>
      <c r="Q22" s="59">
        <v>24</v>
      </c>
      <c r="R22" s="5">
        <v>5.3</v>
      </c>
      <c r="S22" s="5">
        <v>4.5999999999999996</v>
      </c>
      <c r="T22" s="140">
        <v>0.94</v>
      </c>
      <c r="U22" s="144">
        <f>(((Table5[[#This Row],[Watts Active]]*Power_On_Hours_Year/1000)*Active_Duty_Cycle)+((Table5[[#This Row],[Watts Idle]]*Power_On_Hours_Year/1000)*(100%-Active_Duty_Cycle)))*CostPerKWH</f>
        <v>5.1937128000000001</v>
      </c>
      <c r="V22" s="144">
        <f>Table5[Energy$year]/Table5[[#This Row],[SizTB]]</f>
        <v>5.1937128000000001</v>
      </c>
      <c r="W22" s="157">
        <v>46.99</v>
      </c>
      <c r="X22" s="10">
        <f>Table5[[#This Row],[Cost]]/Table5[[#This Row],[SizTB]]</f>
        <v>46.99</v>
      </c>
      <c r="Y22" s="11">
        <f>Table5[[#This Row],[Cost]]+((CompareWarrYrs-Table5[[#This Row],[S]])*(Incremental_Warr_Yr*Table5[[#This Row],[Cost]]))</f>
        <v>62.496700000000004</v>
      </c>
      <c r="Z22" s="6">
        <f>Table5[[#This Row],[$+Warr]]/Table5[[#This Row],[SizTB]]</f>
        <v>62.496700000000004</v>
      </c>
      <c r="AA22" s="10">
        <f>Table5[[#This Row],[$PerTB]]/CompareWarrYrs</f>
        <v>12.49934</v>
      </c>
      <c r="AB22" s="46"/>
    </row>
    <row r="23" spans="1:28">
      <c r="A23" s="1">
        <v>43050</v>
      </c>
      <c r="B23" t="s">
        <v>10</v>
      </c>
      <c r="C23" s="127" t="s">
        <v>11</v>
      </c>
      <c r="D23" s="33"/>
      <c r="E23" s="109">
        <v>3.5</v>
      </c>
      <c r="F23" s="95">
        <v>2</v>
      </c>
      <c r="G23" s="48">
        <v>7200</v>
      </c>
      <c r="H23" s="5">
        <v>6</v>
      </c>
      <c r="I23" s="5">
        <v>9.5</v>
      </c>
      <c r="J23" s="68">
        <f>(Table5[[#This Row],[RPM]]/5400-1)</f>
        <v>0.33333333333333326</v>
      </c>
      <c r="K23" s="51">
        <v>156</v>
      </c>
      <c r="L23">
        <v>2</v>
      </c>
      <c r="M23" s="42">
        <v>300000</v>
      </c>
      <c r="N23">
        <v>55</v>
      </c>
      <c r="O23" s="42"/>
      <c r="P23" s="41">
        <f t="shared" si="2"/>
        <v>100000000000000</v>
      </c>
      <c r="Q23" s="59">
        <f>2.5*12</f>
        <v>30</v>
      </c>
      <c r="R23" s="5">
        <v>8</v>
      </c>
      <c r="S23" s="5">
        <v>5.4</v>
      </c>
      <c r="T23" s="140">
        <v>0.75</v>
      </c>
      <c r="U23" s="144">
        <f>(((Table5[[#This Row],[Watts Active]]*Power_On_Hours_Year/1000)*Active_Duty_Cycle)+((Table5[[#This Row],[Watts Idle]]*Power_On_Hours_Year/1000)*(100%-Active_Duty_Cycle)))*CostPerKWH</f>
        <v>6.486662400000001</v>
      </c>
      <c r="V23" s="144">
        <f>Table5[Energy$year]/Table5[[#This Row],[SizTB]]</f>
        <v>3.2433312000000005</v>
      </c>
      <c r="W23" s="157">
        <v>59.99</v>
      </c>
      <c r="X23" s="10">
        <f>Table5[[#This Row],[Cost]]/Table5[[#This Row],[SizTB]]</f>
        <v>29.995000000000001</v>
      </c>
      <c r="Y23" s="11">
        <f>Table5[[#This Row],[Cost]]+((CompareWarrYrs-Table5[[#This Row],[S]])*(Incremental_Warr_Yr*Table5[[#This Row],[Cost]]))</f>
        <v>79.786699999999996</v>
      </c>
      <c r="Z23" s="6">
        <f>Table5[[#This Row],[$+Warr]]/Table5[[#This Row],[SizTB]]</f>
        <v>39.893349999999998</v>
      </c>
      <c r="AA23" s="10">
        <f>Table5[[#This Row],[$PerTB]]/CompareWarrYrs</f>
        <v>7.9786699999999993</v>
      </c>
      <c r="AB23" s="46"/>
    </row>
    <row r="24" spans="1:28">
      <c r="A24" s="1">
        <v>43050</v>
      </c>
      <c r="B24" t="s">
        <v>10</v>
      </c>
      <c r="C24" s="127" t="s">
        <v>11</v>
      </c>
      <c r="D24" s="33"/>
      <c r="E24" s="109">
        <v>3.5</v>
      </c>
      <c r="F24" s="95">
        <v>3</v>
      </c>
      <c r="G24" s="48">
        <v>7200</v>
      </c>
      <c r="H24" s="5">
        <v>6</v>
      </c>
      <c r="I24" s="5">
        <v>9.5</v>
      </c>
      <c r="J24" s="68">
        <f>(Table5[[#This Row],[RPM]]/5400-1)</f>
        <v>0.33333333333333326</v>
      </c>
      <c r="K24" s="51">
        <v>156</v>
      </c>
      <c r="L24">
        <v>2</v>
      </c>
      <c r="M24" s="42">
        <v>300000</v>
      </c>
      <c r="N24">
        <v>55</v>
      </c>
      <c r="O24" s="42"/>
      <c r="P24" s="41">
        <f t="shared" si="2"/>
        <v>100000000000000</v>
      </c>
      <c r="Q24" s="59">
        <f>2.5*12</f>
        <v>30</v>
      </c>
      <c r="R24" s="5">
        <v>8</v>
      </c>
      <c r="S24" s="5">
        <v>5.4</v>
      </c>
      <c r="T24" s="140">
        <v>0.75</v>
      </c>
      <c r="U24" s="144">
        <f>(((Table5[[#This Row],[Watts Active]]*Power_On_Hours_Year/1000)*Active_Duty_Cycle)+((Table5[[#This Row],[Watts Idle]]*Power_On_Hours_Year/1000)*(100%-Active_Duty_Cycle)))*CostPerKWH</f>
        <v>6.486662400000001</v>
      </c>
      <c r="V24" s="144">
        <f>Table5[Energy$year]/Table5[[#This Row],[SizTB]]</f>
        <v>2.1622208000000005</v>
      </c>
      <c r="W24" s="157">
        <v>69.989999999999995</v>
      </c>
      <c r="X24" s="10">
        <f>Table5[[#This Row],[Cost]]/Table5[[#This Row],[SizTB]]</f>
        <v>23.33</v>
      </c>
      <c r="Y24" s="11">
        <f>Table5[[#This Row],[Cost]]+((CompareWarrYrs-Table5[[#This Row],[S]])*(Incremental_Warr_Yr*Table5[[#This Row],[Cost]]))</f>
        <v>93.086699999999993</v>
      </c>
      <c r="Z24" s="6">
        <f>Table5[[#This Row],[$+Warr]]/Table5[[#This Row],[SizTB]]</f>
        <v>31.028899999999997</v>
      </c>
      <c r="AA24" s="10">
        <f>Table5[[#This Row],[$PerTB]]/CompareWarrYrs</f>
        <v>6.205779999999999</v>
      </c>
      <c r="AB24" s="46"/>
    </row>
    <row r="25" spans="1:28">
      <c r="A25" s="1">
        <v>43050</v>
      </c>
      <c r="B25" t="s">
        <v>10</v>
      </c>
      <c r="C25" s="127" t="s">
        <v>11</v>
      </c>
      <c r="D25" s="33"/>
      <c r="E25" s="109">
        <v>3.5</v>
      </c>
      <c r="F25" s="95">
        <v>4</v>
      </c>
      <c r="G25" s="48">
        <v>7200</v>
      </c>
      <c r="H25" s="5">
        <v>6</v>
      </c>
      <c r="I25" s="5">
        <v>9.5</v>
      </c>
      <c r="J25" s="68">
        <f>(Table5[[#This Row],[RPM]]/5400-1)</f>
        <v>0.33333333333333326</v>
      </c>
      <c r="K25" s="51">
        <v>190</v>
      </c>
      <c r="L25">
        <v>2</v>
      </c>
      <c r="M25" s="42">
        <v>300000</v>
      </c>
      <c r="N25">
        <v>55</v>
      </c>
      <c r="O25" s="42"/>
      <c r="P25" s="41">
        <f t="shared" si="2"/>
        <v>100000000000000</v>
      </c>
      <c r="Q25" s="59">
        <v>24</v>
      </c>
      <c r="R25" s="5">
        <v>5</v>
      </c>
      <c r="S25" s="5">
        <v>2.5</v>
      </c>
      <c r="T25" s="140">
        <v>0.25</v>
      </c>
      <c r="U25" s="144">
        <f>(((Table5[[#This Row],[Watts Active]]*Power_On_Hours_Year/1000)*Active_Duty_Cycle)+((Table5[[#This Row],[Watts Idle]]*Power_On_Hours_Year/1000)*(100%-Active_Duty_Cycle)))*CostPerKWH</f>
        <v>3.2871600000000001</v>
      </c>
      <c r="V25" s="144">
        <f>Table5[Energy$year]/Table5[[#This Row],[SizTB]]</f>
        <v>0.82179000000000002</v>
      </c>
      <c r="W25" s="157">
        <v>99.99</v>
      </c>
      <c r="X25" s="10">
        <f>Table5[[#This Row],[Cost]]/Table5[[#This Row],[SizTB]]</f>
        <v>24.997499999999999</v>
      </c>
      <c r="Y25" s="11">
        <f>Table5[[#This Row],[Cost]]+((CompareWarrYrs-Table5[[#This Row],[S]])*(Incremental_Warr_Yr*Table5[[#This Row],[Cost]]))</f>
        <v>132.98669999999998</v>
      </c>
      <c r="Z25" s="6">
        <f>Table5[[#This Row],[$+Warr]]/Table5[[#This Row],[SizTB]]</f>
        <v>33.246674999999996</v>
      </c>
      <c r="AA25" s="10">
        <f>Table5[[#This Row],[$PerTB]]/CompareWarrYrs</f>
        <v>6.6493349999999989</v>
      </c>
      <c r="AB25" s="46"/>
    </row>
    <row r="26" spans="1:28">
      <c r="A26" s="1">
        <v>43019</v>
      </c>
      <c r="B26" t="s">
        <v>10</v>
      </c>
      <c r="C26" s="127" t="s">
        <v>11</v>
      </c>
      <c r="D26" s="33"/>
      <c r="E26" s="109">
        <v>2.5</v>
      </c>
      <c r="F26" s="95">
        <v>1</v>
      </c>
      <c r="G26" s="48">
        <v>5400</v>
      </c>
      <c r="H26" s="5"/>
      <c r="I26" s="5"/>
      <c r="J26" s="68">
        <f>(Table5[[#This Row],[RPM]]/5400-1)</f>
        <v>0</v>
      </c>
      <c r="K26" s="51">
        <v>140</v>
      </c>
      <c r="L26">
        <v>2</v>
      </c>
      <c r="M26" s="42">
        <v>600000</v>
      </c>
      <c r="O26" s="42"/>
      <c r="P26" s="41">
        <f t="shared" si="2"/>
        <v>100000000000000</v>
      </c>
      <c r="Q26" s="59">
        <f>1*5</f>
        <v>5</v>
      </c>
      <c r="R26" s="5">
        <v>1.7</v>
      </c>
      <c r="S26" s="5">
        <v>0.45</v>
      </c>
      <c r="T26" s="140"/>
      <c r="U26" s="144">
        <f>(((Table5[[#This Row],[Watts Active]]*Power_On_Hours_Year/1000)*Active_Duty_Cycle)+((Table5[[#This Row],[Watts Idle]]*Power_On_Hours_Year/1000)*(100%-Active_Duty_Cycle)))*CostPerKWH</f>
        <v>0.76700400000000002</v>
      </c>
      <c r="V26" s="144">
        <f>Table5[Energy$year]/Table5[[#This Row],[SizTB]]</f>
        <v>0.76700400000000002</v>
      </c>
      <c r="W26" s="157">
        <v>49.99</v>
      </c>
      <c r="X26" s="10">
        <f>Table5[[#This Row],[Cost]]/Table5[[#This Row],[SizTB]]</f>
        <v>49.99</v>
      </c>
      <c r="Y26" s="11">
        <f>Table5[[#This Row],[Cost]]+((CompareWarrYrs-Table5[[#This Row],[S]])*(Incremental_Warr_Yr*Table5[[#This Row],[Cost]]))</f>
        <v>66.486699999999999</v>
      </c>
      <c r="Z26" s="6">
        <f>Table5[[#This Row],[$+Warr]]/Table5[[#This Row],[SizTB]]</f>
        <v>66.486699999999999</v>
      </c>
      <c r="AA26" s="10">
        <f>Table5[[#This Row],[$PerTB]]/CompareWarrYrs</f>
        <v>13.29734</v>
      </c>
      <c r="AB26" s="46"/>
    </row>
    <row r="27" spans="1:28">
      <c r="A27" s="1">
        <v>43019</v>
      </c>
      <c r="B27" t="s">
        <v>10</v>
      </c>
      <c r="C27" s="127" t="s">
        <v>11</v>
      </c>
      <c r="D27" s="33"/>
      <c r="E27" s="109">
        <v>2.5</v>
      </c>
      <c r="F27" s="95">
        <v>2</v>
      </c>
      <c r="G27" s="48">
        <v>5400</v>
      </c>
      <c r="H27" s="5"/>
      <c r="I27" s="5"/>
      <c r="J27" s="68">
        <f>(Table5[[#This Row],[RPM]]/5400-1)</f>
        <v>0</v>
      </c>
      <c r="K27" s="51">
        <v>140</v>
      </c>
      <c r="L27">
        <v>2</v>
      </c>
      <c r="M27" s="42">
        <v>600000</v>
      </c>
      <c r="O27" s="42"/>
      <c r="P27" s="41">
        <f t="shared" si="2"/>
        <v>100000000000000</v>
      </c>
      <c r="Q27" s="59">
        <f>1*5</f>
        <v>5</v>
      </c>
      <c r="R27" s="5">
        <v>1.8</v>
      </c>
      <c r="S27" s="5">
        <v>0.5</v>
      </c>
      <c r="T27" s="140"/>
      <c r="U27" s="144">
        <f>(((Table5[[#This Row],[Watts Active]]*Power_On_Hours_Year/1000)*Active_Duty_Cycle)+((Table5[[#This Row],[Watts Idle]]*Power_On_Hours_Year/1000)*(100%-Active_Duty_Cycle)))*CostPerKWH</f>
        <v>0.83274720000000002</v>
      </c>
      <c r="V27" s="144">
        <f>Table5[Energy$year]/Table5[[#This Row],[SizTB]]</f>
        <v>0.41637360000000001</v>
      </c>
      <c r="W27" s="157">
        <v>66.989999999999995</v>
      </c>
      <c r="X27" s="10">
        <f>Table5[[#This Row],[Cost]]/Table5[[#This Row],[SizTB]]</f>
        <v>33.494999999999997</v>
      </c>
      <c r="Y27" s="11">
        <f>Table5[[#This Row],[Cost]]+((CompareWarrYrs-Table5[[#This Row],[S]])*(Incremental_Warr_Yr*Table5[[#This Row],[Cost]]))</f>
        <v>89.096699999999998</v>
      </c>
      <c r="Z27" s="6">
        <f>Table5[[#This Row],[$+Warr]]/Table5[[#This Row],[SizTB]]</f>
        <v>44.548349999999999</v>
      </c>
      <c r="AA27" s="10">
        <f>Table5[[#This Row],[$PerTB]]/CompareWarrYrs</f>
        <v>8.9096700000000002</v>
      </c>
      <c r="AB27" s="46"/>
    </row>
    <row r="28" spans="1:28">
      <c r="A28" s="1">
        <v>43019</v>
      </c>
      <c r="B28" t="s">
        <v>10</v>
      </c>
      <c r="C28" s="127" t="s">
        <v>11</v>
      </c>
      <c r="D28" s="33"/>
      <c r="E28" s="109">
        <v>2.5</v>
      </c>
      <c r="F28" s="95">
        <v>3</v>
      </c>
      <c r="G28" s="48">
        <v>5400</v>
      </c>
      <c r="H28" s="5"/>
      <c r="I28" s="5"/>
      <c r="J28" s="68">
        <f>(Table5[[#This Row],[RPM]]/5400-1)</f>
        <v>0</v>
      </c>
      <c r="K28" s="51">
        <v>140</v>
      </c>
      <c r="L28">
        <v>2</v>
      </c>
      <c r="M28" s="42">
        <v>600000</v>
      </c>
      <c r="O28" s="42"/>
      <c r="P28" s="41">
        <f t="shared" si="2"/>
        <v>100000000000000</v>
      </c>
      <c r="Q28" s="59">
        <f>1.2*5</f>
        <v>6</v>
      </c>
      <c r="R28" s="5">
        <v>2.1</v>
      </c>
      <c r="S28" s="5">
        <v>1.1000000000000001</v>
      </c>
      <c r="T28" s="140"/>
      <c r="U28" s="144">
        <f>(((Table5[[#This Row],[Watts Active]]*Power_On_Hours_Year/1000)*Active_Duty_Cycle)+((Table5[[#This Row],[Watts Idle]]*Power_On_Hours_Year/1000)*(100%-Active_Duty_Cycle)))*CostPerKWH</f>
        <v>1.4244360000000003</v>
      </c>
      <c r="V28" s="144">
        <f>Table5[Energy$year]/Table5[[#This Row],[SizTB]]</f>
        <v>0.47481200000000007</v>
      </c>
      <c r="W28" s="157">
        <v>89.99</v>
      </c>
      <c r="X28" s="10">
        <f>Table5[[#This Row],[Cost]]/Table5[[#This Row],[SizTB]]</f>
        <v>29.996666666666666</v>
      </c>
      <c r="Y28" s="11">
        <f>Table5[[#This Row],[Cost]]+((CompareWarrYrs-Table5[[#This Row],[S]])*(Incremental_Warr_Yr*Table5[[#This Row],[Cost]]))</f>
        <v>119.6867</v>
      </c>
      <c r="Z28" s="6">
        <f>Table5[[#This Row],[$+Warr]]/Table5[[#This Row],[SizTB]]</f>
        <v>39.895566666666667</v>
      </c>
      <c r="AA28" s="10">
        <f>Table5[[#This Row],[$PerTB]]/CompareWarrYrs</f>
        <v>7.9791133333333333</v>
      </c>
      <c r="AB28" s="46"/>
    </row>
    <row r="29" spans="1:28">
      <c r="A29" s="1">
        <v>43019</v>
      </c>
      <c r="B29" t="s">
        <v>10</v>
      </c>
      <c r="C29" s="127" t="s">
        <v>11</v>
      </c>
      <c r="D29" s="33"/>
      <c r="E29" s="109">
        <v>2.5</v>
      </c>
      <c r="F29" s="95">
        <v>4</v>
      </c>
      <c r="G29" s="48">
        <v>5400</v>
      </c>
      <c r="H29" s="5"/>
      <c r="I29" s="5"/>
      <c r="J29" s="68">
        <f>(Table5[[#This Row],[RPM]]/5400-1)</f>
        <v>0</v>
      </c>
      <c r="K29" s="51">
        <v>140</v>
      </c>
      <c r="L29">
        <v>2</v>
      </c>
      <c r="M29" s="42">
        <v>600000</v>
      </c>
      <c r="O29" s="42"/>
      <c r="P29" s="41">
        <f t="shared" si="2"/>
        <v>100000000000000</v>
      </c>
      <c r="Q29" s="59">
        <f>1.2*5</f>
        <v>6</v>
      </c>
      <c r="R29" s="5">
        <v>2.1</v>
      </c>
      <c r="S29" s="5">
        <v>1.1000000000000001</v>
      </c>
      <c r="T29" s="140"/>
      <c r="U29" s="144">
        <f>(((Table5[[#This Row],[Watts Active]]*Power_On_Hours_Year/1000)*Active_Duty_Cycle)+((Table5[[#This Row],[Watts Idle]]*Power_On_Hours_Year/1000)*(100%-Active_Duty_Cycle)))*CostPerKWH</f>
        <v>1.4244360000000003</v>
      </c>
      <c r="V29" s="144">
        <f>Table5[Energy$year]/Table5[[#This Row],[SizTB]]</f>
        <v>0.35610900000000006</v>
      </c>
      <c r="W29" s="157">
        <v>114.99</v>
      </c>
      <c r="X29" s="10">
        <f>Table5[[#This Row],[Cost]]/Table5[[#This Row],[SizTB]]</f>
        <v>28.747499999999999</v>
      </c>
      <c r="Y29" s="11">
        <f>Table5[[#This Row],[Cost]]+((CompareWarrYrs-Table5[[#This Row],[S]])*(Incremental_Warr_Yr*Table5[[#This Row],[Cost]]))</f>
        <v>152.9367</v>
      </c>
      <c r="Z29" s="6">
        <f>Table5[[#This Row],[$+Warr]]/Table5[[#This Row],[SizTB]]</f>
        <v>38.234175</v>
      </c>
      <c r="AA29" s="10">
        <f>Table5[[#This Row],[$PerTB]]/CompareWarrYrs</f>
        <v>7.6468350000000003</v>
      </c>
      <c r="AB29" s="46"/>
    </row>
    <row r="30" spans="1:28">
      <c r="A30" s="1">
        <v>43053</v>
      </c>
      <c r="B30" t="s">
        <v>10</v>
      </c>
      <c r="C30" s="127" t="s">
        <v>11</v>
      </c>
      <c r="D30" s="33"/>
      <c r="E30" s="109">
        <v>2.5</v>
      </c>
      <c r="F30" s="95">
        <v>5</v>
      </c>
      <c r="G30" s="48">
        <v>5400</v>
      </c>
      <c r="H30" s="5"/>
      <c r="I30" s="5"/>
      <c r="J30" s="68">
        <f>(Table5[[#This Row],[RPM]]/5400-1)</f>
        <v>0</v>
      </c>
      <c r="K30" s="51">
        <v>140</v>
      </c>
      <c r="L30">
        <v>2</v>
      </c>
      <c r="M30" s="42">
        <v>600000</v>
      </c>
      <c r="O30" s="42"/>
      <c r="P30" s="41">
        <f t="shared" si="2"/>
        <v>100000000000000</v>
      </c>
      <c r="Q30" s="59">
        <f>1.2*5</f>
        <v>6</v>
      </c>
      <c r="R30" s="5">
        <v>2.1</v>
      </c>
      <c r="S30" s="5">
        <v>1.1000000000000001</v>
      </c>
      <c r="T30" s="140"/>
      <c r="U30" s="144">
        <f>(((Table5[[#This Row],[Watts Active]]*Power_On_Hours_Year/1000)*Active_Duty_Cycle)+((Table5[[#This Row],[Watts Idle]]*Power_On_Hours_Year/1000)*(100%-Active_Duty_Cycle)))*CostPerKWH</f>
        <v>1.4244360000000003</v>
      </c>
      <c r="V30" s="144">
        <f>Table5[Energy$year]/Table5[[#This Row],[SizTB]]</f>
        <v>0.28488720000000006</v>
      </c>
      <c r="W30" s="157">
        <v>209.99</v>
      </c>
      <c r="X30" s="10">
        <f>Table5[[#This Row],[Cost]]/Table5[[#This Row],[SizTB]]</f>
        <v>41.998000000000005</v>
      </c>
      <c r="Y30" s="11">
        <f>Table5[[#This Row],[Cost]]+((CompareWarrYrs-Table5[[#This Row],[S]])*(Incremental_Warr_Yr*Table5[[#This Row],[Cost]]))</f>
        <v>279.2867</v>
      </c>
      <c r="Z30" s="6">
        <f>Table5[[#This Row],[$+Warr]]/Table5[[#This Row],[SizTB]]</f>
        <v>55.857340000000001</v>
      </c>
      <c r="AA30" s="10">
        <f>Table5[[#This Row],[$PerTB]]/CompareWarrYrs</f>
        <v>11.171468000000001</v>
      </c>
      <c r="AB30" s="46"/>
    </row>
    <row r="31" spans="1:28">
      <c r="A31" s="1">
        <v>43019</v>
      </c>
      <c r="B31" t="s">
        <v>10</v>
      </c>
      <c r="C31" s="127" t="s">
        <v>18</v>
      </c>
      <c r="D31" s="33"/>
      <c r="E31" s="109">
        <v>3.5</v>
      </c>
      <c r="F31" s="95">
        <v>2</v>
      </c>
      <c r="G31" s="48">
        <v>7200</v>
      </c>
      <c r="H31" s="5">
        <v>4.16</v>
      </c>
      <c r="I31" s="5"/>
      <c r="J31" s="68">
        <f>(Table5[[#This Row],[RPM]]/5400-1)</f>
        <v>0.33333333333333326</v>
      </c>
      <c r="K31" s="51">
        <v>195</v>
      </c>
      <c r="L31">
        <v>5</v>
      </c>
      <c r="M31" s="42">
        <v>600000</v>
      </c>
      <c r="N31">
        <v>180</v>
      </c>
      <c r="O31" s="42"/>
      <c r="P31" s="41">
        <v>1000000000000000</v>
      </c>
      <c r="Q31" s="59">
        <v>24</v>
      </c>
      <c r="R31" s="5">
        <v>7.5</v>
      </c>
      <c r="S31" s="5">
        <v>4.5</v>
      </c>
      <c r="T31" s="140">
        <v>0.8</v>
      </c>
      <c r="U31" s="144">
        <f>(((Table5[[#This Row],[Watts Active]]*Power_On_Hours_Year/1000)*Active_Duty_Cycle)+((Table5[[#This Row],[Watts Idle]]*Power_On_Hours_Year/1000)*(100%-Active_Duty_Cycle)))*CostPerKWH</f>
        <v>5.5881720000000001</v>
      </c>
      <c r="V31" s="144">
        <f>Table5[Energy$year]/Table5[[#This Row],[SizTB]]</f>
        <v>2.7940860000000001</v>
      </c>
      <c r="W31" s="157">
        <v>127.99</v>
      </c>
      <c r="X31" s="10">
        <f>Table5[[#This Row],[Cost]]/Table5[[#This Row],[SizTB]]</f>
        <v>63.994999999999997</v>
      </c>
      <c r="Y31" s="11">
        <f>Table5[[#This Row],[Cost]]+((CompareWarrYrs-Table5[[#This Row],[S]])*(Incremental_Warr_Yr*Table5[[#This Row],[Cost]]))</f>
        <v>127.99</v>
      </c>
      <c r="Z31" s="6">
        <f>Table5[[#This Row],[$+Warr]]/Table5[[#This Row],[SizTB]]</f>
        <v>63.994999999999997</v>
      </c>
      <c r="AA31" s="10">
        <f>Table5[[#This Row],[$PerTB]]/CompareWarrYrs</f>
        <v>12.798999999999999</v>
      </c>
      <c r="AB31" s="46"/>
    </row>
    <row r="32" spans="1:28">
      <c r="A32" s="1">
        <v>43019</v>
      </c>
      <c r="B32" t="s">
        <v>10</v>
      </c>
      <c r="C32" s="127" t="s">
        <v>18</v>
      </c>
      <c r="D32" s="33"/>
      <c r="E32" s="109">
        <v>3.5</v>
      </c>
      <c r="F32" s="95">
        <v>4</v>
      </c>
      <c r="G32" s="48">
        <v>7200</v>
      </c>
      <c r="H32" s="5">
        <v>4.16</v>
      </c>
      <c r="I32" s="5"/>
      <c r="J32" s="68">
        <f>(Table5[[#This Row],[RPM]]/5400-1)</f>
        <v>0.33333333333333326</v>
      </c>
      <c r="K32" s="51">
        <v>214</v>
      </c>
      <c r="L32">
        <v>5</v>
      </c>
      <c r="M32" s="42">
        <v>600000</v>
      </c>
      <c r="N32">
        <v>180</v>
      </c>
      <c r="O32" s="42"/>
      <c r="P32" s="41">
        <v>1000000000000000</v>
      </c>
      <c r="Q32" s="59">
        <v>24</v>
      </c>
      <c r="R32" s="5">
        <v>6.7</v>
      </c>
      <c r="S32" s="5">
        <v>6</v>
      </c>
      <c r="T32" s="140">
        <v>0.6</v>
      </c>
      <c r="U32" s="144">
        <f>(((Table5[[#This Row],[Watts Active]]*Power_On_Hours_Year/1000)*Active_Duty_Cycle)+((Table5[[#This Row],[Watts Idle]]*Power_On_Hours_Year/1000)*(100%-Active_Duty_Cycle)))*CostPerKWH</f>
        <v>6.7277208000000002</v>
      </c>
      <c r="V32" s="144">
        <f>Table5[Energy$year]/Table5[[#This Row],[SizTB]]</f>
        <v>1.6819302</v>
      </c>
      <c r="W32" s="157">
        <v>174.99</v>
      </c>
      <c r="X32" s="10">
        <f>Table5[[#This Row],[Cost]]/Table5[[#This Row],[SizTB]]</f>
        <v>43.747500000000002</v>
      </c>
      <c r="Y32" s="11">
        <f>Table5[[#This Row],[Cost]]+((CompareWarrYrs-Table5[[#This Row],[S]])*(Incremental_Warr_Yr*Table5[[#This Row],[Cost]]))</f>
        <v>174.99</v>
      </c>
      <c r="Z32" s="6">
        <f>Table5[[#This Row],[$+Warr]]/Table5[[#This Row],[SizTB]]</f>
        <v>43.747500000000002</v>
      </c>
      <c r="AA32" s="10">
        <f>Table5[[#This Row],[$PerTB]]/CompareWarrYrs</f>
        <v>8.7495000000000012</v>
      </c>
      <c r="AB32" s="46"/>
    </row>
    <row r="33" spans="1:28">
      <c r="A33" s="1">
        <v>43019</v>
      </c>
      <c r="B33" t="s">
        <v>10</v>
      </c>
      <c r="C33" s="127" t="s">
        <v>18</v>
      </c>
      <c r="D33" s="33"/>
      <c r="E33" s="109">
        <v>3.5</v>
      </c>
      <c r="F33" s="95">
        <v>6</v>
      </c>
      <c r="G33" s="48">
        <v>7200</v>
      </c>
      <c r="H33" s="5">
        <v>4.16</v>
      </c>
      <c r="I33" s="5"/>
      <c r="J33" s="68">
        <f>(Table5[[#This Row],[RPM]]/5400-1)</f>
        <v>0.33333333333333326</v>
      </c>
      <c r="K33" s="51">
        <v>180</v>
      </c>
      <c r="L33">
        <v>5</v>
      </c>
      <c r="M33" s="42">
        <v>300000</v>
      </c>
      <c r="N33">
        <v>300</v>
      </c>
      <c r="O33" s="42"/>
      <c r="P33" s="41">
        <v>1000000000000000</v>
      </c>
      <c r="Q33" s="59">
        <v>24</v>
      </c>
      <c r="R33" s="5">
        <v>9</v>
      </c>
      <c r="S33" s="5">
        <v>7.2</v>
      </c>
      <c r="T33" s="140">
        <v>0.6</v>
      </c>
      <c r="U33" s="144">
        <f>(((Table5[[#This Row],[Watts Active]]*Power_On_Hours_Year/1000)*Active_Duty_Cycle)+((Table5[[#This Row],[Watts Idle]]*Power_On_Hours_Year/1000)*(100%-Active_Duty_Cycle)))*CostPerKWH</f>
        <v>8.2836432000000002</v>
      </c>
      <c r="V33" s="144">
        <f>Table5[Energy$year]/Table5[[#This Row],[SizTB]]</f>
        <v>1.3806072</v>
      </c>
      <c r="W33" s="157">
        <v>249.99</v>
      </c>
      <c r="X33" s="10">
        <f>Table5[[#This Row],[Cost]]/Table5[[#This Row],[SizTB]]</f>
        <v>41.664999999999999</v>
      </c>
      <c r="Y33" s="11">
        <f>Table5[[#This Row],[Cost]]+((CompareWarrYrs-Table5[[#This Row],[S]])*(Incremental_Warr_Yr*Table5[[#This Row],[Cost]]))</f>
        <v>249.99</v>
      </c>
      <c r="Z33" s="6">
        <f>Table5[[#This Row],[$+Warr]]/Table5[[#This Row],[SizTB]]</f>
        <v>41.664999999999999</v>
      </c>
      <c r="AA33" s="10">
        <f>Table5[[#This Row],[$PerTB]]/CompareWarrYrs</f>
        <v>8.3330000000000002</v>
      </c>
      <c r="AB33" s="46"/>
    </row>
    <row r="34" spans="1:28">
      <c r="A34" s="1">
        <v>43019</v>
      </c>
      <c r="B34" t="s">
        <v>10</v>
      </c>
      <c r="C34" s="127" t="s">
        <v>18</v>
      </c>
      <c r="D34" s="33"/>
      <c r="E34" s="109">
        <v>3.5</v>
      </c>
      <c r="F34" s="95">
        <v>8</v>
      </c>
      <c r="G34" s="48">
        <v>7200</v>
      </c>
      <c r="H34" s="5">
        <v>4.16</v>
      </c>
      <c r="I34" s="5"/>
      <c r="J34" s="68">
        <f>(Table5[[#This Row],[RPM]]/5400-1)</f>
        <v>0.33333333333333326</v>
      </c>
      <c r="K34" s="51">
        <v>220</v>
      </c>
      <c r="L34">
        <v>5</v>
      </c>
      <c r="M34" s="42">
        <v>300000</v>
      </c>
      <c r="N34">
        <v>300</v>
      </c>
      <c r="O34" s="42"/>
      <c r="P34" s="41">
        <v>1000000000000000</v>
      </c>
      <c r="Q34" s="59">
        <f>12*2</f>
        <v>24</v>
      </c>
      <c r="R34" s="5">
        <v>6.8</v>
      </c>
      <c r="S34" s="5">
        <v>4.5</v>
      </c>
      <c r="T34" s="140">
        <v>0.8</v>
      </c>
      <c r="U34" s="144">
        <f>(((Table5[[#This Row],[Watts Active]]*Power_On_Hours_Year/1000)*Active_Duty_Cycle)+((Table5[[#This Row],[Watts Idle]]*Power_On_Hours_Year/1000)*(100%-Active_Duty_Cycle)))*CostPerKWH</f>
        <v>5.4347712000000001</v>
      </c>
      <c r="V34" s="144">
        <f>Table5[Energy$year]/Table5[[#This Row],[SizTB]]</f>
        <v>0.67934640000000002</v>
      </c>
      <c r="W34" s="157">
        <v>324.99</v>
      </c>
      <c r="X34" s="10">
        <f>Table5[[#This Row],[Cost]]/Table5[[#This Row],[SizTB]]</f>
        <v>40.623750000000001</v>
      </c>
      <c r="Y34" s="11">
        <f>Table5[[#This Row],[Cost]]+((CompareWarrYrs-Table5[[#This Row],[S]])*(Incremental_Warr_Yr*Table5[[#This Row],[Cost]]))</f>
        <v>324.99</v>
      </c>
      <c r="Z34" s="6">
        <f>Table5[[#This Row],[$+Warr]]/Table5[[#This Row],[SizTB]]</f>
        <v>40.623750000000001</v>
      </c>
      <c r="AA34" s="10">
        <f>Table5[[#This Row],[$PerTB]]/CompareWarrYrs</f>
        <v>8.1247500000000006</v>
      </c>
      <c r="AB34" s="46"/>
    </row>
    <row r="35" spans="1:28">
      <c r="A35" s="1">
        <v>43019</v>
      </c>
      <c r="B35" t="s">
        <v>10</v>
      </c>
      <c r="C35" s="127" t="s">
        <v>18</v>
      </c>
      <c r="D35" s="33"/>
      <c r="E35" s="109">
        <v>3.5</v>
      </c>
      <c r="F35" s="95">
        <v>10</v>
      </c>
      <c r="G35" s="48">
        <v>7200</v>
      </c>
      <c r="H35" s="5">
        <v>4.16</v>
      </c>
      <c r="I35" s="5"/>
      <c r="J35" s="68">
        <f>(Table5[[#This Row],[RPM]]/5400-1)</f>
        <v>0.33333333333333326</v>
      </c>
      <c r="K35" s="51">
        <v>220</v>
      </c>
      <c r="L35">
        <v>5</v>
      </c>
      <c r="M35" s="42">
        <v>300000</v>
      </c>
      <c r="N35">
        <v>300</v>
      </c>
      <c r="O35" s="42"/>
      <c r="P35" s="41">
        <v>1000000000000000</v>
      </c>
      <c r="Q35" s="59">
        <f>12*1.8</f>
        <v>21.6</v>
      </c>
      <c r="R35" s="5">
        <v>6.8</v>
      </c>
      <c r="S35" s="5">
        <v>4.5</v>
      </c>
      <c r="T35" s="140">
        <v>0.8</v>
      </c>
      <c r="U35" s="144">
        <f>(((Table5[[#This Row],[Watts Active]]*Power_On_Hours_Year/1000)*Active_Duty_Cycle)+((Table5[[#This Row],[Watts Idle]]*Power_On_Hours_Year/1000)*(100%-Active_Duty_Cycle)))*CostPerKWH</f>
        <v>5.4347712000000001</v>
      </c>
      <c r="V35" s="144">
        <f>Table5[Energy$year]/Table5[[#This Row],[SizTB]]</f>
        <v>0.54347712000000004</v>
      </c>
      <c r="W35" s="157">
        <v>424.99</v>
      </c>
      <c r="X35" s="10">
        <f>Table5[[#This Row],[Cost]]/Table5[[#This Row],[SizTB]]</f>
        <v>42.499000000000002</v>
      </c>
      <c r="Y35" s="11">
        <f>Table5[[#This Row],[Cost]]+((CompareWarrYrs-Table5[[#This Row],[S]])*(Incremental_Warr_Yr*Table5[[#This Row],[Cost]]))</f>
        <v>424.99</v>
      </c>
      <c r="Z35" s="6">
        <f>Table5[[#This Row],[$+Warr]]/Table5[[#This Row],[SizTB]]</f>
        <v>42.499000000000002</v>
      </c>
      <c r="AA35" s="10">
        <f>Table5[[#This Row],[$PerTB]]/CompareWarrYrs</f>
        <v>8.4998000000000005</v>
      </c>
      <c r="AB35" s="46"/>
    </row>
    <row r="36" spans="1:28">
      <c r="A36" s="1">
        <v>43044</v>
      </c>
      <c r="B36" t="s">
        <v>10</v>
      </c>
      <c r="C36" s="127" t="s">
        <v>18</v>
      </c>
      <c r="D36" s="117"/>
      <c r="E36" s="109">
        <v>3.5</v>
      </c>
      <c r="F36" s="95">
        <v>12</v>
      </c>
      <c r="G36" s="48">
        <v>7200</v>
      </c>
      <c r="H36" s="5"/>
      <c r="I36" s="5"/>
      <c r="J36" s="68">
        <f>(Table5[[#This Row],[RPM]]/5400-1)</f>
        <v>0.33333333333333326</v>
      </c>
      <c r="K36" s="51">
        <v>250</v>
      </c>
      <c r="L36">
        <v>5</v>
      </c>
      <c r="M36" s="42">
        <v>300000</v>
      </c>
      <c r="N36">
        <v>300</v>
      </c>
      <c r="O36" s="42"/>
      <c r="P36" s="41"/>
      <c r="Q36" s="59"/>
      <c r="R36" s="5"/>
      <c r="S36" s="5"/>
      <c r="T36" s="140"/>
      <c r="U36" s="144"/>
      <c r="V36" s="144"/>
      <c r="W36" s="157">
        <v>519.99</v>
      </c>
      <c r="X36" s="10">
        <f>Table5[[#This Row],[Cost]]/Table5[[#This Row],[SizTB]]</f>
        <v>43.332500000000003</v>
      </c>
      <c r="Y36" s="11">
        <f>Table5[[#This Row],[Cost]]+((CompareWarrYrs-Table5[[#This Row],[S]])*(Incremental_Warr_Yr*Table5[[#This Row],[Cost]]))</f>
        <v>519.99</v>
      </c>
      <c r="Z36" s="6">
        <f>Table5[[#This Row],[$+Warr]]/Table5[[#This Row],[SizTB]]</f>
        <v>43.332500000000003</v>
      </c>
      <c r="AA36" s="10">
        <f>Table5[[#This Row],[$PerTB]]/CompareWarrYrs</f>
        <v>8.666500000000001</v>
      </c>
      <c r="AB36" s="46"/>
    </row>
    <row r="37" spans="1:28">
      <c r="A37" s="1">
        <v>43027</v>
      </c>
      <c r="B37" t="s">
        <v>10</v>
      </c>
      <c r="C37" s="127" t="s">
        <v>110</v>
      </c>
      <c r="D37" s="130" t="s">
        <v>51</v>
      </c>
      <c r="E37" s="109">
        <v>2.5</v>
      </c>
      <c r="F37" s="95">
        <v>1.8</v>
      </c>
      <c r="G37" s="48">
        <v>10500</v>
      </c>
      <c r="H37" s="5">
        <v>2.9</v>
      </c>
      <c r="I37" s="5"/>
      <c r="J37" s="68">
        <f>(Table5[[#This Row],[RPM]]/5400-1)</f>
        <v>0.94444444444444442</v>
      </c>
      <c r="K37" s="51">
        <v>270</v>
      </c>
      <c r="L37">
        <v>5</v>
      </c>
      <c r="M37" s="42"/>
      <c r="N37">
        <v>550</v>
      </c>
      <c r="O37" s="42">
        <v>2000000</v>
      </c>
      <c r="P37" s="41">
        <v>1E+16</v>
      </c>
      <c r="Q37" s="59"/>
      <c r="R37" s="5">
        <v>6.95</v>
      </c>
      <c r="S37" s="5">
        <v>4.26</v>
      </c>
      <c r="T37" s="140"/>
      <c r="U37" s="144">
        <f>(((Table5[[#This Row],[Watts Active]]*Power_On_Hours_Year/1000)*Active_Duty_Cycle)+((Table5[[#This Row],[Watts Idle]]*Power_On_Hours_Year/1000)*(100%-Active_Duty_Cycle)))*CostPerKWH</f>
        <v>5.2572645600000003</v>
      </c>
      <c r="V37" s="144">
        <f>Table5[Energy$year]/Table5[[#This Row],[SizTB]]</f>
        <v>2.9207025333333334</v>
      </c>
      <c r="W37" s="157"/>
      <c r="X37" s="10">
        <f>Table5[[#This Row],[Cost]]/Table5[[#This Row],[SizTB]]</f>
        <v>0</v>
      </c>
      <c r="Y37" s="11">
        <f>Table5[[#This Row],[Cost]]+((CompareWarrYrs-Table5[[#This Row],[S]])*(Incremental_Warr_Yr*Table5[[#This Row],[Cost]]))</f>
        <v>0</v>
      </c>
      <c r="Z37" s="6">
        <f>Table5[[#This Row],[$+Warr]]/Table5[[#This Row],[SizTB]]</f>
        <v>0</v>
      </c>
      <c r="AA37" s="10">
        <f>Table5[[#This Row],[$PerTB]]/CompareWarrYrs</f>
        <v>0</v>
      </c>
      <c r="AB37" s="46" t="s">
        <v>101</v>
      </c>
    </row>
    <row r="38" spans="1:28">
      <c r="A38" s="1">
        <v>43027</v>
      </c>
      <c r="B38" t="s">
        <v>10</v>
      </c>
      <c r="C38" s="127" t="s">
        <v>110</v>
      </c>
      <c r="D38" s="130" t="s">
        <v>51</v>
      </c>
      <c r="E38" s="109">
        <v>2.5</v>
      </c>
      <c r="F38" s="95">
        <v>2.4</v>
      </c>
      <c r="G38" s="48">
        <v>10500</v>
      </c>
      <c r="H38" s="5">
        <v>2.9</v>
      </c>
      <c r="I38" s="5"/>
      <c r="J38" s="68">
        <f>(Table5[[#This Row],[RPM]]/5400-1)</f>
        <v>0.94444444444444442</v>
      </c>
      <c r="K38" s="51">
        <v>270</v>
      </c>
      <c r="L38">
        <v>5</v>
      </c>
      <c r="M38" s="42"/>
      <c r="N38">
        <v>550</v>
      </c>
      <c r="O38" s="42">
        <v>2000000</v>
      </c>
      <c r="P38" s="41">
        <v>1E+16</v>
      </c>
      <c r="Q38" s="59"/>
      <c r="R38" s="5">
        <v>8.57</v>
      </c>
      <c r="S38" s="5">
        <v>4.9000000000000004</v>
      </c>
      <c r="T38" s="140"/>
      <c r="U38" s="144">
        <f>(((Table5[[#This Row],[Watts Active]]*Power_On_Hours_Year/1000)*Active_Duty_Cycle)+((Table5[[#This Row],[Watts Idle]]*Power_On_Hours_Year/1000)*(100%-Active_Duty_Cycle)))*CostPerKWH</f>
        <v>6.1732864799999998</v>
      </c>
      <c r="V38" s="144">
        <f>Table5[Energy$year]/Table5[[#This Row],[SizTB]]</f>
        <v>2.5722027000000001</v>
      </c>
      <c r="W38" s="157">
        <v>514.99</v>
      </c>
      <c r="X38" s="10">
        <f>Table5[[#This Row],[Cost]]/Table5[[#This Row],[SizTB]]</f>
        <v>214.57916666666668</v>
      </c>
      <c r="Y38" s="11">
        <f>Table5[[#This Row],[Cost]]+((CompareWarrYrs-Table5[[#This Row],[S]])*(Incremental_Warr_Yr*Table5[[#This Row],[Cost]]))</f>
        <v>514.99</v>
      </c>
      <c r="Z38" s="6">
        <f>Table5[[#This Row],[$+Warr]]/Table5[[#This Row],[SizTB]]</f>
        <v>214.57916666666668</v>
      </c>
      <c r="AA38" s="10">
        <f>Table5[[#This Row],[$PerTB]]/CompareWarrYrs</f>
        <v>42.915833333333339</v>
      </c>
      <c r="AB38" s="46" t="s">
        <v>101</v>
      </c>
    </row>
    <row r="39" spans="1:28">
      <c r="A39" s="1">
        <v>43027</v>
      </c>
      <c r="B39" t="s">
        <v>10</v>
      </c>
      <c r="C39" s="127" t="s">
        <v>111</v>
      </c>
      <c r="D39" s="130" t="s">
        <v>51</v>
      </c>
      <c r="E39" s="109">
        <v>3.5</v>
      </c>
      <c r="F39" s="95">
        <v>0.9</v>
      </c>
      <c r="G39" s="48">
        <v>15000</v>
      </c>
      <c r="H39" s="5">
        <v>2</v>
      </c>
      <c r="I39" s="5"/>
      <c r="J39" s="68">
        <f>(Table5[[#This Row],[RPM]]/5400-1)</f>
        <v>1.7777777777777777</v>
      </c>
      <c r="K39" s="51">
        <v>215</v>
      </c>
      <c r="L39">
        <v>5</v>
      </c>
      <c r="M39" s="42"/>
      <c r="N39">
        <v>550</v>
      </c>
      <c r="O39" s="42">
        <v>2000000</v>
      </c>
      <c r="P39" s="41">
        <v>1E+16</v>
      </c>
      <c r="Q39" s="59"/>
      <c r="R39" s="5">
        <v>7.6</v>
      </c>
      <c r="S39" s="5">
        <v>5.7</v>
      </c>
      <c r="T39" s="140"/>
      <c r="U39" s="144">
        <f>(((Table5[[#This Row],[Watts Active]]*Power_On_Hours_Year/1000)*Active_Duty_Cycle)+((Table5[[#This Row],[Watts Idle]]*Power_On_Hours_Year/1000)*(100%-Active_Duty_Cycle)))*CostPerKWH</f>
        <v>6.6619776000000002</v>
      </c>
      <c r="V39" s="144">
        <f>Table5[Energy$year]/Table5[[#This Row],[SizTB]]</f>
        <v>7.4021973333333335</v>
      </c>
      <c r="W39" s="157"/>
      <c r="X39" s="10">
        <f>Table5[[#This Row],[Cost]]/Table5[[#This Row],[SizTB]]</f>
        <v>0</v>
      </c>
      <c r="Y39" s="11">
        <f>Table5[[#This Row],[Cost]]+((CompareWarrYrs-Table5[[#This Row],[S]])*(Incremental_Warr_Yr*Table5[[#This Row],[Cost]]))</f>
        <v>0</v>
      </c>
      <c r="Z39" s="6">
        <f>Table5[[#This Row],[$+Warr]]/Table5[[#This Row],[SizTB]]</f>
        <v>0</v>
      </c>
      <c r="AA39" s="10">
        <f>Table5[[#This Row],[$PerTB]]/CompareWarrYrs</f>
        <v>0</v>
      </c>
      <c r="AB39" s="46" t="s">
        <v>46</v>
      </c>
    </row>
    <row r="40" spans="1:28">
      <c r="A40" s="1">
        <v>43027</v>
      </c>
      <c r="B40" t="s">
        <v>10</v>
      </c>
      <c r="C40" s="127" t="s">
        <v>113</v>
      </c>
      <c r="D40" s="130" t="s">
        <v>117</v>
      </c>
      <c r="E40" s="109">
        <v>3.5</v>
      </c>
      <c r="F40" s="95">
        <v>8</v>
      </c>
      <c r="G40" s="48">
        <v>5900</v>
      </c>
      <c r="H40" s="5"/>
      <c r="I40" s="5"/>
      <c r="J40" s="68">
        <f>(Table5[[#This Row],[RPM]]/5400-1)</f>
        <v>9.259259259259256E-2</v>
      </c>
      <c r="K40" s="51">
        <v>190</v>
      </c>
      <c r="L40">
        <v>3</v>
      </c>
      <c r="M40" s="42">
        <v>300000</v>
      </c>
      <c r="N40">
        <v>180</v>
      </c>
      <c r="O40" s="42">
        <v>800000</v>
      </c>
      <c r="P40" s="41">
        <f t="shared" ref="P40" si="3">10^14</f>
        <v>100000000000000</v>
      </c>
      <c r="Q40" s="59">
        <v>24</v>
      </c>
      <c r="R40" s="5">
        <v>5.3</v>
      </c>
      <c r="S40" s="5">
        <v>3.7</v>
      </c>
      <c r="T40" s="140">
        <v>0.99</v>
      </c>
      <c r="U40" s="144">
        <f>(((Table5[[#This Row],[Watts Active]]*Power_On_Hours_Year/1000)*Active_Duty_Cycle)+((Table5[[#This Row],[Watts Idle]]*Power_On_Hours_Year/1000)*(100%-Active_Duty_Cycle)))*CostPerKWH</f>
        <v>4.4047944000000001</v>
      </c>
      <c r="V40" s="144">
        <f>Table5[Energy$year]/Table5[[#This Row],[SizTB]]</f>
        <v>0.55059930000000001</v>
      </c>
      <c r="W40" s="157">
        <v>229.99</v>
      </c>
      <c r="X40" s="10">
        <f>Table5[[#This Row],[Cost]]/Table5[[#This Row],[SizTB]]</f>
        <v>28.748750000000001</v>
      </c>
      <c r="Y40" s="11">
        <f>Table5[[#This Row],[Cost]]+((CompareWarrYrs-Table5[[#This Row],[S]])*(Incremental_Warr_Yr*Table5[[#This Row],[Cost]]))</f>
        <v>280.58780000000002</v>
      </c>
      <c r="Z40" s="6">
        <f>Table5[[#This Row],[$+Warr]]/Table5[[#This Row],[SizTB]]</f>
        <v>35.073475000000002</v>
      </c>
      <c r="AA40" s="10">
        <f>Table5[[#This Row],[$PerTB]]/CompareWarrYrs</f>
        <v>7.0146950000000006</v>
      </c>
      <c r="AB40" s="124" t="s">
        <v>103</v>
      </c>
    </row>
    <row r="41" spans="1:28">
      <c r="A41" s="1">
        <v>43027</v>
      </c>
      <c r="B41" t="s">
        <v>10</v>
      </c>
      <c r="C41" s="127" t="s">
        <v>112</v>
      </c>
      <c r="D41" s="130" t="s">
        <v>51</v>
      </c>
      <c r="E41" s="109">
        <v>3.5</v>
      </c>
      <c r="F41" s="131">
        <v>1</v>
      </c>
      <c r="G41" s="48">
        <v>7200</v>
      </c>
      <c r="H41" s="5">
        <v>4.16</v>
      </c>
      <c r="I41" s="5"/>
      <c r="J41" s="68">
        <f>(Table5[[#This Row],[RPM]]/5400-1)</f>
        <v>0.33333333333333326</v>
      </c>
      <c r="K41" s="51">
        <v>194</v>
      </c>
      <c r="L41">
        <v>5</v>
      </c>
      <c r="M41" s="42"/>
      <c r="N41">
        <v>550</v>
      </c>
      <c r="O41" s="42">
        <v>2000000</v>
      </c>
      <c r="P41" s="41">
        <v>1000000000000000</v>
      </c>
      <c r="Q41" s="59"/>
      <c r="R41" s="5">
        <v>7</v>
      </c>
      <c r="S41" s="5">
        <v>4.7</v>
      </c>
      <c r="T41" s="140"/>
      <c r="U41" s="147">
        <f>((30/(1000/R41/24)*$G$134)+(30/(1000/S41/24)*(100%-$G$134)))*$G$133*12</f>
        <v>0</v>
      </c>
      <c r="V41" s="144">
        <f>Table5[Energy$year]/Table5[[#This Row],[SizTB]]</f>
        <v>0</v>
      </c>
      <c r="W41" s="157"/>
      <c r="X41" s="10">
        <f>Table5[[#This Row],[Cost]]/Table5[[#This Row],[SizTB]]</f>
        <v>0</v>
      </c>
      <c r="Y41" s="11">
        <f>Table5[[#This Row],[Cost]]+((CompareWarrYrs-Table5[[#This Row],[S]])*(Incremental_Warr_Yr*Table5[[#This Row],[Cost]]))</f>
        <v>0</v>
      </c>
      <c r="Z41" s="6">
        <f>Table5[[#This Row],[$+Warr]]/Table5[[#This Row],[SizTB]]</f>
        <v>0</v>
      </c>
      <c r="AA41" s="10">
        <f>Table5[[#This Row],[$PerTB]]/CompareWarrYrs</f>
        <v>0</v>
      </c>
      <c r="AB41" s="46"/>
    </row>
    <row r="42" spans="1:28">
      <c r="A42" s="1">
        <v>43027</v>
      </c>
      <c r="B42" t="s">
        <v>10</v>
      </c>
      <c r="C42" s="127" t="s">
        <v>112</v>
      </c>
      <c r="D42" s="130" t="s">
        <v>51</v>
      </c>
      <c r="E42" s="109">
        <v>3.5</v>
      </c>
      <c r="F42" s="131">
        <v>2</v>
      </c>
      <c r="G42" s="48">
        <v>7200</v>
      </c>
      <c r="H42" s="5">
        <v>4.16</v>
      </c>
      <c r="I42" s="5"/>
      <c r="J42" s="68">
        <f>(Table5[[#This Row],[RPM]]/5400-1)</f>
        <v>0.33333333333333326</v>
      </c>
      <c r="K42" s="51">
        <v>194</v>
      </c>
      <c r="L42">
        <v>5</v>
      </c>
      <c r="M42" s="42"/>
      <c r="N42">
        <v>550</v>
      </c>
      <c r="O42" s="42">
        <v>2000000</v>
      </c>
      <c r="P42" s="41">
        <v>1000000000000000</v>
      </c>
      <c r="Q42" s="59"/>
      <c r="R42" s="5">
        <v>7</v>
      </c>
      <c r="S42" s="5">
        <v>4.7</v>
      </c>
      <c r="T42" s="140"/>
      <c r="U42" s="147">
        <f>((30/(1000/R42/24)*$G$134)+(30/(1000/S42/24)*(100%-$G$134)))*$G$133*12</f>
        <v>0</v>
      </c>
      <c r="V42" s="144">
        <f>Table5[Energy$year]/Table5[[#This Row],[SizTB]]</f>
        <v>0</v>
      </c>
      <c r="W42" s="157">
        <v>306.60000000000002</v>
      </c>
      <c r="X42" s="10">
        <f>Table5[[#This Row],[Cost]]/Table5[[#This Row],[SizTB]]</f>
        <v>153.30000000000001</v>
      </c>
      <c r="Y42" s="11">
        <f>Table5[[#This Row],[Cost]]+((CompareWarrYrs-Table5[[#This Row],[S]])*(Incremental_Warr_Yr*Table5[[#This Row],[Cost]]))</f>
        <v>306.60000000000002</v>
      </c>
      <c r="Z42" s="6">
        <f>Table5[[#This Row],[$+Warr]]/Table5[[#This Row],[SizTB]]</f>
        <v>153.30000000000001</v>
      </c>
      <c r="AA42" s="10">
        <f>Table5[[#This Row],[$PerTB]]/CompareWarrYrs</f>
        <v>30.660000000000004</v>
      </c>
      <c r="AB42" s="46"/>
    </row>
    <row r="43" spans="1:28">
      <c r="A43" s="1">
        <v>43037</v>
      </c>
      <c r="B43" t="s">
        <v>10</v>
      </c>
      <c r="C43" s="127" t="s">
        <v>114</v>
      </c>
      <c r="D43" s="130" t="s">
        <v>51</v>
      </c>
      <c r="E43" s="109">
        <v>2.5</v>
      </c>
      <c r="F43" s="95">
        <v>1</v>
      </c>
      <c r="G43" s="48">
        <v>7200</v>
      </c>
      <c r="H43" s="5">
        <v>4.16</v>
      </c>
      <c r="I43" s="5"/>
      <c r="J43" s="68">
        <f>(Table5[[#This Row],[RPM]]/5400-1)</f>
        <v>0.33333333333333326</v>
      </c>
      <c r="K43" s="51">
        <v>136</v>
      </c>
      <c r="L43">
        <v>5</v>
      </c>
      <c r="M43" s="42">
        <v>300000</v>
      </c>
      <c r="N43">
        <v>550</v>
      </c>
      <c r="O43" s="42">
        <v>2000000</v>
      </c>
      <c r="P43" s="41">
        <v>1000000000000000</v>
      </c>
      <c r="Q43" s="59"/>
      <c r="R43" s="5">
        <v>5.9</v>
      </c>
      <c r="S43" s="12">
        <v>3.29</v>
      </c>
      <c r="T43" s="140">
        <v>1.52</v>
      </c>
      <c r="U43" s="144">
        <f>(((Table5[[#This Row],[Watts Active]]*Power_On_Hours_Year/1000)*Active_Duty_Cycle)+((Table5[[#This Row],[Watts Idle]]*Power_On_Hours_Year/1000)*(100%-Active_Duty_Cycle)))*CostPerKWH</f>
        <v>4.1768846400000008</v>
      </c>
      <c r="V43" s="144">
        <f>Table5[Energy$year]/Table5[[#This Row],[SizTB]]</f>
        <v>4.1768846400000008</v>
      </c>
      <c r="W43" s="157">
        <v>184.41</v>
      </c>
      <c r="X43" s="10">
        <f>Table5[[#This Row],[Cost]]/Table5[[#This Row],[SizTB]]</f>
        <v>184.41</v>
      </c>
      <c r="Y43" s="11">
        <f>Table5[[#This Row],[Cost]]+((CompareWarrYrs-Table5[[#This Row],[S]])*(Incremental_Warr_Yr*Table5[[#This Row],[Cost]]))</f>
        <v>184.41</v>
      </c>
      <c r="Z43" s="6">
        <f>Table5[[#This Row],[$+Warr]]/Table5[[#This Row],[SizTB]]</f>
        <v>184.41</v>
      </c>
      <c r="AA43" s="10">
        <f>Table5[[#This Row],[$PerTB]]/CompareWarrYrs</f>
        <v>36.881999999999998</v>
      </c>
      <c r="AB43" s="46"/>
    </row>
    <row r="44" spans="1:28">
      <c r="A44" s="1">
        <v>43027</v>
      </c>
      <c r="B44" t="s">
        <v>10</v>
      </c>
      <c r="C44" s="127" t="s">
        <v>114</v>
      </c>
      <c r="D44" s="130" t="s">
        <v>51</v>
      </c>
      <c r="E44" s="109">
        <v>2.5</v>
      </c>
      <c r="F44" s="95">
        <v>2</v>
      </c>
      <c r="G44" s="48">
        <v>7200</v>
      </c>
      <c r="H44" s="5">
        <v>4.16</v>
      </c>
      <c r="I44" s="5"/>
      <c r="J44" s="68">
        <f>(Table5[[#This Row],[RPM]]/5400-1)</f>
        <v>0.33333333333333326</v>
      </c>
      <c r="K44" s="51">
        <v>136</v>
      </c>
      <c r="L44">
        <v>5</v>
      </c>
      <c r="M44" s="42">
        <v>300000</v>
      </c>
      <c r="N44">
        <v>550</v>
      </c>
      <c r="O44" s="42">
        <v>2000000</v>
      </c>
      <c r="P44" s="41">
        <v>1000000000000000</v>
      </c>
      <c r="Q44" s="59"/>
      <c r="R44" s="5">
        <v>6.02</v>
      </c>
      <c r="S44" s="12">
        <v>3.53</v>
      </c>
      <c r="T44" s="140">
        <v>1.52</v>
      </c>
      <c r="U44" s="144">
        <f>(((Table5[[#This Row],[Watts Active]]*Power_On_Hours_Year/1000)*Active_Duty_Cycle)+((Table5[[#This Row],[Watts Idle]]*Power_On_Hours_Year/1000)*(100%-Active_Duty_Cycle)))*CostPerKWH</f>
        <v>4.4135601600000003</v>
      </c>
      <c r="V44" s="144">
        <f>Table5[Energy$year]/Table5[[#This Row],[SizTB]]</f>
        <v>2.2067800800000001</v>
      </c>
      <c r="W44" s="157">
        <v>329.99</v>
      </c>
      <c r="X44" s="10">
        <f>Table5[[#This Row],[Cost]]/Table5[[#This Row],[SizTB]]</f>
        <v>164.995</v>
      </c>
      <c r="Y44" s="11">
        <f>Table5[[#This Row],[Cost]]+((CompareWarrYrs-Table5[[#This Row],[S]])*(Incremental_Warr_Yr*Table5[[#This Row],[Cost]]))</f>
        <v>329.99</v>
      </c>
      <c r="Z44" s="6">
        <f>Table5[[#This Row],[$+Warr]]/Table5[[#This Row],[SizTB]]</f>
        <v>164.995</v>
      </c>
      <c r="AA44" s="10">
        <f>Table5[[#This Row],[$PerTB]]/CompareWarrYrs</f>
        <v>32.999000000000002</v>
      </c>
      <c r="AB44" s="46"/>
    </row>
    <row r="45" spans="1:28">
      <c r="A45" s="1">
        <v>43027</v>
      </c>
      <c r="B45" t="s">
        <v>10</v>
      </c>
      <c r="C45" s="127" t="s">
        <v>109</v>
      </c>
      <c r="D45" s="33" t="s">
        <v>51</v>
      </c>
      <c r="E45" s="109">
        <v>3.5</v>
      </c>
      <c r="F45" s="95">
        <v>1</v>
      </c>
      <c r="G45" s="48">
        <v>7200</v>
      </c>
      <c r="H45" s="5">
        <v>4.16</v>
      </c>
      <c r="I45" s="5"/>
      <c r="J45" s="68">
        <f>(Table5[[#This Row],[RPM]]/5400-1)</f>
        <v>0.33333333333333326</v>
      </c>
      <c r="K45" s="51">
        <v>215</v>
      </c>
      <c r="L45">
        <v>5</v>
      </c>
      <c r="M45" s="42"/>
      <c r="N45">
        <v>550</v>
      </c>
      <c r="O45" s="42">
        <v>2000000</v>
      </c>
      <c r="P45" s="41">
        <v>1000000000000000</v>
      </c>
      <c r="Q45" s="59"/>
      <c r="R45" s="5">
        <v>5.91</v>
      </c>
      <c r="S45" s="5">
        <v>4.25</v>
      </c>
      <c r="T45" s="140"/>
      <c r="U45" s="144">
        <f>(((Table5[[#This Row],[Watts Active]]*Power_On_Hours_Year/1000)*Active_Duty_Cycle)+((Table5[[#This Row],[Watts Idle]]*Power_On_Hours_Year/1000)*(100%-Active_Duty_Cycle)))*CostPerKWH</f>
        <v>5.0205890399999999</v>
      </c>
      <c r="V45" s="144">
        <f>Table5[Energy$year]/Table5[[#This Row],[SizTB]]</f>
        <v>5.0205890399999999</v>
      </c>
      <c r="W45" s="157">
        <v>99.99</v>
      </c>
      <c r="X45" s="10">
        <f>Table5[[#This Row],[Cost]]/Table5[[#This Row],[SizTB]]</f>
        <v>99.99</v>
      </c>
      <c r="Y45" s="11">
        <f>Table5[[#This Row],[Cost]]+((CompareWarrYrs-Table5[[#This Row],[S]])*(Incremental_Warr_Yr*Table5[[#This Row],[Cost]]))</f>
        <v>99.99</v>
      </c>
      <c r="Z45" s="6">
        <f>Table5[[#This Row],[$+Warr]]/Table5[[#This Row],[SizTB]]</f>
        <v>99.99</v>
      </c>
      <c r="AA45" s="10">
        <f>Table5[[#This Row],[$PerTB]]/CompareWarrYrs</f>
        <v>19.997999999999998</v>
      </c>
      <c r="AB45" s="46"/>
    </row>
    <row r="46" spans="1:28">
      <c r="A46" s="1">
        <v>43044</v>
      </c>
      <c r="B46" t="s">
        <v>10</v>
      </c>
      <c r="C46" s="127" t="s">
        <v>109</v>
      </c>
      <c r="D46" s="33" t="s">
        <v>51</v>
      </c>
      <c r="E46" s="109">
        <v>3.5</v>
      </c>
      <c r="F46" s="95">
        <v>2</v>
      </c>
      <c r="G46" s="48">
        <v>7200</v>
      </c>
      <c r="H46" s="5">
        <v>4.16</v>
      </c>
      <c r="I46" s="5"/>
      <c r="J46" s="68">
        <f>(Table5[[#This Row],[RPM]]/5400-1)</f>
        <v>0.33333333333333326</v>
      </c>
      <c r="K46" s="51">
        <v>226</v>
      </c>
      <c r="L46">
        <v>5</v>
      </c>
      <c r="M46" s="42"/>
      <c r="N46">
        <v>550</v>
      </c>
      <c r="O46" s="42">
        <v>2000000</v>
      </c>
      <c r="P46" s="41">
        <v>1000000000000000</v>
      </c>
      <c r="Q46" s="59"/>
      <c r="R46" s="5">
        <v>5.9</v>
      </c>
      <c r="S46" s="5">
        <v>4.25</v>
      </c>
      <c r="T46" s="140">
        <v>0.6</v>
      </c>
      <c r="U46" s="144">
        <f>(((Table5[[#This Row],[Watts Active]]*Power_On_Hours_Year/1000)*Active_Duty_Cycle)+((Table5[[#This Row],[Watts Idle]]*Power_On_Hours_Year/1000)*(100%-Active_Duty_Cycle)))*CostPerKWH</f>
        <v>5.0183976000000001</v>
      </c>
      <c r="V46" s="144">
        <f>Table5[Energy$year]/Table5[[#This Row],[SizTB]]</f>
        <v>2.5091988000000001</v>
      </c>
      <c r="W46" s="157">
        <v>139.99</v>
      </c>
      <c r="X46" s="10">
        <f>Table5[[#This Row],[Cost]]/Table5[[#This Row],[SizTB]]</f>
        <v>69.995000000000005</v>
      </c>
      <c r="Y46" s="11">
        <f>Table5[[#This Row],[Cost]]+((CompareWarrYrs-Table5[[#This Row],[S]])*(Incremental_Warr_Yr*Table5[[#This Row],[Cost]]))</f>
        <v>139.99</v>
      </c>
      <c r="Z46" s="6">
        <f>Table5[[#This Row],[$+Warr]]/Table5[[#This Row],[SizTB]]</f>
        <v>69.995000000000005</v>
      </c>
      <c r="AA46" s="10">
        <f>Table5[[#This Row],[$PerTB]]/CompareWarrYrs</f>
        <v>13.999000000000001</v>
      </c>
      <c r="AB46" s="46"/>
    </row>
    <row r="47" spans="1:28">
      <c r="A47" s="1">
        <v>43044</v>
      </c>
      <c r="B47" t="s">
        <v>10</v>
      </c>
      <c r="C47" s="127" t="s">
        <v>109</v>
      </c>
      <c r="D47" s="33" t="s">
        <v>51</v>
      </c>
      <c r="E47" s="109">
        <v>3.5</v>
      </c>
      <c r="F47" s="95">
        <v>4</v>
      </c>
      <c r="G47" s="48">
        <v>7200</v>
      </c>
      <c r="H47" s="5">
        <v>4.16</v>
      </c>
      <c r="I47" s="5"/>
      <c r="J47" s="68">
        <f>(Table5[[#This Row],[RPM]]/5400-1)</f>
        <v>0.33333333333333326</v>
      </c>
      <c r="K47" s="51">
        <v>226</v>
      </c>
      <c r="L47">
        <v>5</v>
      </c>
      <c r="M47" s="42"/>
      <c r="N47">
        <v>550</v>
      </c>
      <c r="O47" s="42">
        <v>2000000</v>
      </c>
      <c r="P47" s="41">
        <v>1000000000000000</v>
      </c>
      <c r="Q47" s="59"/>
      <c r="R47" s="5">
        <v>6.94</v>
      </c>
      <c r="S47" s="5">
        <v>5.45</v>
      </c>
      <c r="T47" s="140">
        <v>0.6</v>
      </c>
      <c r="U47" s="144">
        <f>(((Table5[[#This Row],[Watts Active]]*Power_On_Hours_Year/1000)*Active_Duty_Cycle)+((Table5[[#This Row],[Watts Idle]]*Power_On_Hours_Year/1000)*(100%-Active_Duty_Cycle)))*CostPerKWH</f>
        <v>6.2981985600000003</v>
      </c>
      <c r="V47" s="144">
        <f>Table5[Energy$year]/Table5[[#This Row],[SizTB]]</f>
        <v>1.5745496400000001</v>
      </c>
      <c r="W47" s="157">
        <v>189.99</v>
      </c>
      <c r="X47" s="10">
        <f>Table5[[#This Row],[Cost]]/Table5[[#This Row],[SizTB]]</f>
        <v>47.497500000000002</v>
      </c>
      <c r="Y47" s="11">
        <f>Table5[[#This Row],[Cost]]+((CompareWarrYrs-Table5[[#This Row],[S]])*(Incremental_Warr_Yr*Table5[[#This Row],[Cost]]))</f>
        <v>189.99</v>
      </c>
      <c r="Z47" s="6">
        <f>Table5[[#This Row],[$+Warr]]/Table5[[#This Row],[SizTB]]</f>
        <v>47.497500000000002</v>
      </c>
      <c r="AA47" s="10">
        <f>Table5[[#This Row],[$PerTB]]/CompareWarrYrs</f>
        <v>9.4995000000000012</v>
      </c>
      <c r="AB47" s="46"/>
    </row>
    <row r="48" spans="1:28">
      <c r="A48" s="1">
        <v>43044</v>
      </c>
      <c r="B48" t="s">
        <v>10</v>
      </c>
      <c r="C48" s="127" t="s">
        <v>109</v>
      </c>
      <c r="D48" s="33" t="s">
        <v>51</v>
      </c>
      <c r="E48" s="109">
        <v>3.5</v>
      </c>
      <c r="F48" s="95">
        <v>6</v>
      </c>
      <c r="G48" s="48">
        <v>7200</v>
      </c>
      <c r="H48" s="5">
        <v>4.16</v>
      </c>
      <c r="I48" s="5"/>
      <c r="J48" s="68">
        <f>(Table5[[#This Row],[RPM]]/5400-1)</f>
        <v>0.33333333333333326</v>
      </c>
      <c r="K48" s="51">
        <v>226</v>
      </c>
      <c r="L48">
        <v>5</v>
      </c>
      <c r="M48" s="42"/>
      <c r="N48">
        <v>550</v>
      </c>
      <c r="O48" s="42">
        <v>2000000</v>
      </c>
      <c r="P48" s="41">
        <v>1000000000000000</v>
      </c>
      <c r="Q48" s="59"/>
      <c r="R48" s="5">
        <v>8.59</v>
      </c>
      <c r="S48" s="5">
        <v>6.26</v>
      </c>
      <c r="T48" s="140">
        <v>0.6</v>
      </c>
      <c r="U48" s="144">
        <f>(((Table5[[#This Row],[Watts Active]]*Power_On_Hours_Year/1000)*Active_Duty_Cycle)+((Table5[[#This Row],[Watts Idle]]*Power_On_Hours_Year/1000)*(100%-Active_Duty_Cycle)))*CostPerKWH</f>
        <v>7.3698127200000005</v>
      </c>
      <c r="V48" s="144">
        <f>Table5[Energy$year]/Table5[[#This Row],[SizTB]]</f>
        <v>1.2283021200000002</v>
      </c>
      <c r="W48" s="157">
        <v>244.99</v>
      </c>
      <c r="X48" s="10">
        <f>Table5[[#This Row],[Cost]]/Table5[[#This Row],[SizTB]]</f>
        <v>40.831666666666671</v>
      </c>
      <c r="Y48" s="11">
        <f>Table5[[#This Row],[Cost]]+((CompareWarrYrs-Table5[[#This Row],[S]])*(Incremental_Warr_Yr*Table5[[#This Row],[Cost]]))</f>
        <v>244.99</v>
      </c>
      <c r="Z48" s="6">
        <f>Table5[[#This Row],[$+Warr]]/Table5[[#This Row],[SizTB]]</f>
        <v>40.831666666666671</v>
      </c>
      <c r="AA48" s="10">
        <f>Table5[[#This Row],[$PerTB]]/CompareWarrYrs</f>
        <v>8.1663333333333341</v>
      </c>
      <c r="AB48" s="46"/>
    </row>
    <row r="49" spans="1:28">
      <c r="A49" s="1">
        <v>43044</v>
      </c>
      <c r="B49" t="s">
        <v>10</v>
      </c>
      <c r="C49" s="127" t="s">
        <v>109</v>
      </c>
      <c r="D49" s="33" t="s">
        <v>51</v>
      </c>
      <c r="E49" s="109">
        <v>3.5</v>
      </c>
      <c r="F49" s="95">
        <v>8</v>
      </c>
      <c r="G49" s="48">
        <v>7200</v>
      </c>
      <c r="H49" s="5">
        <v>4.16</v>
      </c>
      <c r="I49" s="5"/>
      <c r="J49" s="68">
        <f>(Table5[[#This Row],[RPM]]/5400-1)</f>
        <v>0.33333333333333326</v>
      </c>
      <c r="K49" s="51">
        <v>249</v>
      </c>
      <c r="L49">
        <v>5</v>
      </c>
      <c r="M49" s="42"/>
      <c r="N49">
        <v>550</v>
      </c>
      <c r="O49" s="42">
        <v>2000000</v>
      </c>
      <c r="P49" s="41">
        <v>1000000000000000</v>
      </c>
      <c r="Q49" s="59"/>
      <c r="R49" s="5">
        <v>11</v>
      </c>
      <c r="S49" s="5">
        <v>7.6</v>
      </c>
      <c r="T49" s="140">
        <v>0.6</v>
      </c>
      <c r="U49" s="144">
        <f>(((Table5[[#This Row],[Watts Active]]*Power_On_Hours_Year/1000)*Active_Duty_Cycle)+((Table5[[#This Row],[Watts Idle]]*Power_On_Hours_Year/1000)*(100%-Active_Duty_Cycle)))*CostPerKWH</f>
        <v>9.0725616000000002</v>
      </c>
      <c r="V49" s="144">
        <f>Table5[Energy$year]/Table5[[#This Row],[SizTB]]</f>
        <v>1.1340702</v>
      </c>
      <c r="W49" s="157">
        <v>289.99</v>
      </c>
      <c r="X49" s="10">
        <f>Table5[[#This Row],[Cost]]/Table5[[#This Row],[SizTB]]</f>
        <v>36.248750000000001</v>
      </c>
      <c r="Y49" s="11">
        <f>Table5[[#This Row],[Cost]]+((CompareWarrYrs-Table5[[#This Row],[S]])*(Incremental_Warr_Yr*Table5[[#This Row],[Cost]]))</f>
        <v>289.99</v>
      </c>
      <c r="Z49" s="6">
        <f>Table5[[#This Row],[$+Warr]]/Table5[[#This Row],[SizTB]]</f>
        <v>36.248750000000001</v>
      </c>
      <c r="AA49" s="10">
        <f>Table5[[#This Row],[$PerTB]]/CompareWarrYrs</f>
        <v>7.2497500000000006</v>
      </c>
      <c r="AB49" s="46"/>
    </row>
    <row r="50" spans="1:28">
      <c r="A50" s="1">
        <v>43027</v>
      </c>
      <c r="B50" t="s">
        <v>10</v>
      </c>
      <c r="C50" s="127" t="s">
        <v>116</v>
      </c>
      <c r="D50" s="130" t="s">
        <v>51</v>
      </c>
      <c r="E50" s="109">
        <v>3.5</v>
      </c>
      <c r="F50" s="95">
        <v>8</v>
      </c>
      <c r="G50" s="48">
        <v>7200</v>
      </c>
      <c r="H50" s="5">
        <v>4.16</v>
      </c>
      <c r="I50" s="5"/>
      <c r="J50" s="68">
        <f>(Table5[[#This Row],[RPM]]/5400-1)</f>
        <v>0.33333333333333326</v>
      </c>
      <c r="K50" s="51">
        <v>237</v>
      </c>
      <c r="L50">
        <v>5</v>
      </c>
      <c r="M50" s="42">
        <v>600000</v>
      </c>
      <c r="N50">
        <v>550</v>
      </c>
      <c r="O50" s="42">
        <v>2500000</v>
      </c>
      <c r="P50" s="41">
        <v>1000000000000000</v>
      </c>
      <c r="Q50" s="59">
        <v>26.21</v>
      </c>
      <c r="R50" s="5">
        <v>7.8</v>
      </c>
      <c r="S50" s="45">
        <v>5</v>
      </c>
      <c r="T50" s="140">
        <v>0.8</v>
      </c>
      <c r="U50" s="144">
        <f>(((Table5[[#This Row],[Watts Active]]*Power_On_Hours_Year/1000)*Active_Duty_Cycle)+((Table5[[#This Row],[Watts Idle]]*Power_On_Hours_Year/1000)*(100%-Active_Duty_Cycle)))*CostPerKWH</f>
        <v>6.0922032000000002</v>
      </c>
      <c r="V50" s="144">
        <f>Table5[Energy$year]/Table5[[#This Row],[SizTB]]</f>
        <v>0.76152540000000002</v>
      </c>
      <c r="W50" s="157">
        <v>259.99</v>
      </c>
      <c r="X50" s="10">
        <f>Table5[[#This Row],[Cost]]/Table5[[#This Row],[SizTB]]</f>
        <v>32.498750000000001</v>
      </c>
      <c r="Y50" s="11">
        <f>Table5[[#This Row],[Cost]]+((CompareWarrYrs-Table5[[#This Row],[S]])*(Incremental_Warr_Yr*Table5[[#This Row],[Cost]]))</f>
        <v>259.99</v>
      </c>
      <c r="Z50" s="6">
        <f>Table5[[#This Row],[$+Warr]]/Table5[[#This Row],[SizTB]]</f>
        <v>32.498750000000001</v>
      </c>
      <c r="AA50" s="10">
        <f>Table5[[#This Row],[$PerTB]]/CompareWarrYrs</f>
        <v>6.4997500000000006</v>
      </c>
      <c r="AB50" s="46" t="s">
        <v>39</v>
      </c>
    </row>
    <row r="51" spans="1:28">
      <c r="A51" s="1">
        <v>43027</v>
      </c>
      <c r="B51" t="s">
        <v>10</v>
      </c>
      <c r="C51" s="127" t="s">
        <v>116</v>
      </c>
      <c r="D51" s="130" t="s">
        <v>51</v>
      </c>
      <c r="E51" s="109">
        <v>3.5</v>
      </c>
      <c r="F51" s="95">
        <v>10</v>
      </c>
      <c r="G51" s="48">
        <v>7200</v>
      </c>
      <c r="H51" s="5">
        <v>4.16</v>
      </c>
      <c r="I51" s="5"/>
      <c r="J51" s="68">
        <f>(Table5[[#This Row],[RPM]]/5400-1)</f>
        <v>0.33333333333333326</v>
      </c>
      <c r="K51" s="51">
        <v>237</v>
      </c>
      <c r="L51">
        <v>5</v>
      </c>
      <c r="M51" s="42">
        <v>600000</v>
      </c>
      <c r="N51">
        <v>550</v>
      </c>
      <c r="O51" s="42">
        <v>2500000</v>
      </c>
      <c r="P51" s="41">
        <v>1000000000000000</v>
      </c>
      <c r="Q51" s="59">
        <f>0.58*5+1.94*12</f>
        <v>26.18</v>
      </c>
      <c r="R51" s="5">
        <v>7.8</v>
      </c>
      <c r="S51" s="45">
        <v>5</v>
      </c>
      <c r="T51" s="140">
        <v>0.8</v>
      </c>
      <c r="U51" s="144">
        <f>(((Table5[[#This Row],[Watts Active]]*Power_On_Hours_Year/1000)*Active_Duty_Cycle)+((Table5[[#This Row],[Watts Idle]]*Power_On_Hours_Year/1000)*(100%-Active_Duty_Cycle)))*CostPerKWH</f>
        <v>6.0922032000000002</v>
      </c>
      <c r="V51" s="144">
        <f>Table5[Energy$year]/Table5[[#This Row],[SizTB]]</f>
        <v>0.60922032000000004</v>
      </c>
      <c r="W51" s="157">
        <v>364.99</v>
      </c>
      <c r="X51" s="10">
        <f>Table5[[#This Row],[Cost]]/Table5[[#This Row],[SizTB]]</f>
        <v>36.499000000000002</v>
      </c>
      <c r="Y51" s="11">
        <f>Table5[[#This Row],[Cost]]+((CompareWarrYrs-Table5[[#This Row],[S]])*(Incremental_Warr_Yr*Table5[[#This Row],[Cost]]))</f>
        <v>364.99</v>
      </c>
      <c r="Z51" s="6">
        <f>Table5[[#This Row],[$+Warr]]/Table5[[#This Row],[SizTB]]</f>
        <v>36.499000000000002</v>
      </c>
      <c r="AA51" s="10">
        <f>Table5[[#This Row],[$PerTB]]/CompareWarrYrs</f>
        <v>7.2998000000000003</v>
      </c>
      <c r="AB51" s="46" t="s">
        <v>39</v>
      </c>
    </row>
    <row r="52" spans="1:28">
      <c r="A52" s="1">
        <v>43027</v>
      </c>
      <c r="B52" t="s">
        <v>10</v>
      </c>
      <c r="C52" s="127" t="s">
        <v>115</v>
      </c>
      <c r="D52" s="130" t="s">
        <v>51</v>
      </c>
      <c r="E52" s="109">
        <v>3.5</v>
      </c>
      <c r="F52" s="95">
        <v>12</v>
      </c>
      <c r="G52" s="48">
        <v>7200</v>
      </c>
      <c r="H52" s="5">
        <v>4.16</v>
      </c>
      <c r="I52" s="5"/>
      <c r="J52" s="68">
        <f>(Table5[[#This Row],[RPM]]/5400-1)</f>
        <v>0.33333333333333326</v>
      </c>
      <c r="K52" s="51">
        <v>261</v>
      </c>
      <c r="L52">
        <v>5</v>
      </c>
      <c r="M52" s="42">
        <v>600000</v>
      </c>
      <c r="N52">
        <v>550</v>
      </c>
      <c r="O52" s="42">
        <v>2500000</v>
      </c>
      <c r="P52" s="41">
        <v>1000000000000000</v>
      </c>
      <c r="Q52" s="59">
        <f>0.914*5+1.729*12</f>
        <v>25.318000000000001</v>
      </c>
      <c r="R52" s="5">
        <v>7.8</v>
      </c>
      <c r="S52" s="45">
        <v>5</v>
      </c>
      <c r="T52" s="140">
        <v>1.1499999999999999</v>
      </c>
      <c r="U52" s="144">
        <f>(((Table5[[#This Row],[Watts Active]]*Power_On_Hours_Year/1000)*Active_Duty_Cycle)+((Table5[[#This Row],[Watts Idle]]*Power_On_Hours_Year/1000)*(100%-Active_Duty_Cycle)))*CostPerKWH</f>
        <v>6.0922032000000002</v>
      </c>
      <c r="V52" s="144">
        <f>Table5[Energy$year]/Table5[[#This Row],[SizTB]]</f>
        <v>0.50768360000000001</v>
      </c>
      <c r="W52" s="157">
        <v>489.22</v>
      </c>
      <c r="X52" s="10">
        <f>Table5[[#This Row],[Cost]]/Table5[[#This Row],[SizTB]]</f>
        <v>40.768333333333338</v>
      </c>
      <c r="Y52" s="11">
        <f>Table5[[#This Row],[Cost]]+((CompareWarrYrs-Table5[[#This Row],[S]])*(Incremental_Warr_Yr*Table5[[#This Row],[Cost]]))</f>
        <v>489.22</v>
      </c>
      <c r="Z52" s="6">
        <f>Table5[[#This Row],[$+Warr]]/Table5[[#This Row],[SizTB]]</f>
        <v>40.768333333333338</v>
      </c>
      <c r="AA52" s="10">
        <f>Table5[[#This Row],[$PerTB]]/CompareWarrYrs</f>
        <v>8.153666666666668</v>
      </c>
      <c r="AB52" s="46" t="s">
        <v>39</v>
      </c>
    </row>
    <row r="53" spans="1:28">
      <c r="A53" s="1">
        <v>43044</v>
      </c>
      <c r="B53" t="s">
        <v>10</v>
      </c>
      <c r="C53" s="127" t="s">
        <v>45</v>
      </c>
      <c r="D53" s="33"/>
      <c r="E53" s="109">
        <v>3.5</v>
      </c>
      <c r="F53" s="95">
        <v>1</v>
      </c>
      <c r="G53" s="48">
        <v>7200</v>
      </c>
      <c r="H53" s="5"/>
      <c r="I53" s="5"/>
      <c r="J53" s="68">
        <f>(Table5[[#This Row],[RPM]]/5400-1)</f>
        <v>0.33333333333333326</v>
      </c>
      <c r="K53" s="51"/>
      <c r="L53">
        <v>5</v>
      </c>
      <c r="M53" s="42"/>
      <c r="O53" s="42"/>
      <c r="P53" s="41"/>
      <c r="Q53" s="59">
        <v>24</v>
      </c>
      <c r="R53" s="5">
        <v>5.9</v>
      </c>
      <c r="S53" s="5">
        <v>4.5</v>
      </c>
      <c r="T53" s="140">
        <v>0.63</v>
      </c>
      <c r="U53" s="144">
        <f>(((Table5[[#This Row],[Watts Active]]*Power_On_Hours_Year/1000)*Active_Duty_Cycle)+((Table5[[#This Row],[Watts Idle]]*Power_On_Hours_Year/1000)*(100%-Active_Duty_Cycle)))*CostPerKWH</f>
        <v>5.2375416000000001</v>
      </c>
      <c r="V53" s="144">
        <f>Table5[Energy$year]/Table5[[#This Row],[SizTB]]</f>
        <v>5.2375416000000001</v>
      </c>
      <c r="W53" s="157">
        <v>87.22</v>
      </c>
      <c r="X53" s="10">
        <f>Table5[[#This Row],[Cost]]/Table5[[#This Row],[SizTB]]</f>
        <v>87.22</v>
      </c>
      <c r="Y53" s="11">
        <f>Table5[[#This Row],[Cost]]+((CompareWarrYrs-Table5[[#This Row],[S]])*(Incremental_Warr_Yr*Table5[[#This Row],[Cost]]))</f>
        <v>87.22</v>
      </c>
      <c r="Z53" s="6">
        <f>Table5[[#This Row],[$+Warr]]/Table5[[#This Row],[SizTB]]</f>
        <v>87.22</v>
      </c>
      <c r="AA53" s="10">
        <f>Table5[[#This Row],[$PerTB]]/CompareWarrYrs</f>
        <v>17.443999999999999</v>
      </c>
      <c r="AB53" s="46" t="s">
        <v>46</v>
      </c>
    </row>
    <row r="54" spans="1:28">
      <c r="A54" s="1">
        <v>43044</v>
      </c>
      <c r="B54" t="s">
        <v>10</v>
      </c>
      <c r="C54" s="127" t="s">
        <v>45</v>
      </c>
      <c r="D54" s="33"/>
      <c r="E54" s="109">
        <v>3.5</v>
      </c>
      <c r="F54" s="95">
        <v>2</v>
      </c>
      <c r="G54" s="48">
        <v>7200</v>
      </c>
      <c r="H54" s="5"/>
      <c r="I54" s="5"/>
      <c r="J54" s="68">
        <f>(Table5[[#This Row],[RPM]]/5400-1)</f>
        <v>0.33333333333333326</v>
      </c>
      <c r="K54" s="51"/>
      <c r="L54">
        <v>5</v>
      </c>
      <c r="M54" s="42"/>
      <c r="O54" s="42"/>
      <c r="P54" s="41"/>
      <c r="Q54" s="59">
        <v>24</v>
      </c>
      <c r="R54" s="5">
        <v>6.7</v>
      </c>
      <c r="S54" s="5">
        <v>3.36</v>
      </c>
      <c r="T54" s="140">
        <v>0.75</v>
      </c>
      <c r="U54" s="144">
        <f>(((Table5[[#This Row],[Watts Active]]*Power_On_Hours_Year/1000)*Active_Duty_Cycle)+((Table5[[#This Row],[Watts Idle]]*Power_On_Hours_Year/1000)*(100%-Active_Duty_Cycle)))*CostPerKWH</f>
        <v>4.4135601600000003</v>
      </c>
      <c r="V54" s="144">
        <f>Table5[Energy$year]/Table5[[#This Row],[SizTB]]</f>
        <v>2.2067800800000001</v>
      </c>
      <c r="W54" s="157">
        <v>113.7</v>
      </c>
      <c r="X54" s="10">
        <f>Table5[[#This Row],[Cost]]/Table5[[#This Row],[SizTB]]</f>
        <v>56.85</v>
      </c>
      <c r="Y54" s="11">
        <f>Table5[[#This Row],[Cost]]+((CompareWarrYrs-Table5[[#This Row],[S]])*(Incremental_Warr_Yr*Table5[[#This Row],[Cost]]))</f>
        <v>113.7</v>
      </c>
      <c r="Z54" s="6">
        <f>Table5[[#This Row],[$+Warr]]/Table5[[#This Row],[SizTB]]</f>
        <v>56.85</v>
      </c>
      <c r="AA54" s="10">
        <f>Table5[[#This Row],[$PerTB]]/CompareWarrYrs</f>
        <v>11.370000000000001</v>
      </c>
      <c r="AB54" s="46" t="s">
        <v>46</v>
      </c>
    </row>
    <row r="55" spans="1:28">
      <c r="A55" s="1">
        <v>43044</v>
      </c>
      <c r="B55" t="s">
        <v>10</v>
      </c>
      <c r="C55" s="127" t="s">
        <v>45</v>
      </c>
      <c r="D55" s="33"/>
      <c r="E55" s="109">
        <v>2.5</v>
      </c>
      <c r="F55" s="95">
        <v>1</v>
      </c>
      <c r="G55" s="48">
        <v>5400</v>
      </c>
      <c r="H55" s="5"/>
      <c r="I55" s="5"/>
      <c r="J55" s="68">
        <f>(Table5[[#This Row],[RPM]]/5400-1)</f>
        <v>0</v>
      </c>
      <c r="K55" s="51"/>
      <c r="L55">
        <v>5</v>
      </c>
      <c r="M55" s="42"/>
      <c r="O55" s="42"/>
      <c r="P55" s="41"/>
      <c r="Q55" s="59">
        <v>5</v>
      </c>
      <c r="R55" s="5">
        <v>1.7</v>
      </c>
      <c r="S55" s="5">
        <v>1.45</v>
      </c>
      <c r="T55" s="140"/>
      <c r="U55" s="144">
        <f>(((Table5[[#This Row],[Watts Active]]*Power_On_Hours_Year/1000)*Active_Duty_Cycle)+((Table5[[#This Row],[Watts Idle]]*Power_On_Hours_Year/1000)*(100%-Active_Duty_Cycle)))*CostPerKWH</f>
        <v>1.64358</v>
      </c>
      <c r="V55" s="144">
        <f>Table5[Energy$year]/Table5[[#This Row],[SizTB]]</f>
        <v>1.64358</v>
      </c>
      <c r="W55" s="157">
        <v>68.319999999999993</v>
      </c>
      <c r="X55" s="10">
        <f>Table5[[#This Row],[Cost]]/Table5[[#This Row],[SizTB]]</f>
        <v>68.319999999999993</v>
      </c>
      <c r="Y55" s="11">
        <f>Table5[[#This Row],[Cost]]+((CompareWarrYrs-Table5[[#This Row],[S]])*(Incremental_Warr_Yr*Table5[[#This Row],[Cost]]))</f>
        <v>68.319999999999993</v>
      </c>
      <c r="Z55" s="6">
        <f>Table5[[#This Row],[$+Warr]]/Table5[[#This Row],[SizTB]]</f>
        <v>68.319999999999993</v>
      </c>
      <c r="AA55" s="10">
        <f>Table5[[#This Row],[$PerTB]]/CompareWarrYrs</f>
        <v>13.663999999999998</v>
      </c>
      <c r="AB55" s="46" t="s">
        <v>46</v>
      </c>
    </row>
    <row r="56" spans="1:28">
      <c r="A56" s="1">
        <v>43044</v>
      </c>
      <c r="B56" t="s">
        <v>10</v>
      </c>
      <c r="C56" s="127" t="s">
        <v>45</v>
      </c>
      <c r="D56" s="33"/>
      <c r="E56" s="109">
        <v>2.5</v>
      </c>
      <c r="F56" s="95">
        <v>2</v>
      </c>
      <c r="G56" s="48">
        <v>5400</v>
      </c>
      <c r="H56" s="5"/>
      <c r="I56" s="5"/>
      <c r="J56" s="68">
        <f>(Table5[[#This Row],[RPM]]/5400-1)</f>
        <v>0</v>
      </c>
      <c r="K56" s="51"/>
      <c r="L56">
        <v>5</v>
      </c>
      <c r="M56" s="42"/>
      <c r="O56" s="42"/>
      <c r="P56" s="41"/>
      <c r="Q56" s="59">
        <v>5</v>
      </c>
      <c r="R56" s="5">
        <v>1.8</v>
      </c>
      <c r="S56" s="5">
        <v>1.5</v>
      </c>
      <c r="T56" s="140"/>
      <c r="U56" s="144">
        <f>(((Table5[[#This Row],[Watts Active]]*Power_On_Hours_Year/1000)*Active_Duty_Cycle)+((Table5[[#This Row],[Watts Idle]]*Power_On_Hours_Year/1000)*(100%-Active_Duty_Cycle)))*CostPerKWH</f>
        <v>1.7093232</v>
      </c>
      <c r="V56" s="144">
        <f>Table5[Energy$year]/Table5[[#This Row],[SizTB]]</f>
        <v>0.85466160000000002</v>
      </c>
      <c r="W56" s="157">
        <v>112.56</v>
      </c>
      <c r="X56" s="10">
        <f>Table5[[#This Row],[Cost]]/Table5[[#This Row],[SizTB]]</f>
        <v>56.28</v>
      </c>
      <c r="Y56" s="11">
        <f>Table5[[#This Row],[Cost]]+((CompareWarrYrs-Table5[[#This Row],[S]])*(Incremental_Warr_Yr*Table5[[#This Row],[Cost]]))</f>
        <v>112.56</v>
      </c>
      <c r="Z56" s="6">
        <f>Table5[[#This Row],[$+Warr]]/Table5[[#This Row],[SizTB]]</f>
        <v>56.28</v>
      </c>
      <c r="AA56" s="10">
        <f>Table5[[#This Row],[$PerTB]]/CompareWarrYrs</f>
        <v>11.256</v>
      </c>
      <c r="AB56" s="46" t="s">
        <v>46</v>
      </c>
    </row>
    <row r="57" spans="1:28">
      <c r="A57" s="1">
        <v>43053</v>
      </c>
      <c r="B57" t="s">
        <v>10</v>
      </c>
      <c r="C57" s="127" t="s">
        <v>13</v>
      </c>
      <c r="D57" s="33" t="s">
        <v>51</v>
      </c>
      <c r="E57" s="109">
        <v>3.5</v>
      </c>
      <c r="F57" s="95">
        <v>1</v>
      </c>
      <c r="G57" s="48">
        <v>5900</v>
      </c>
      <c r="H57" s="5">
        <v>5.0999999999999996</v>
      </c>
      <c r="I57" s="5">
        <v>11.99</v>
      </c>
      <c r="J57" s="68">
        <f>(Table5[[#This Row],[RPM]]/5400-1)</f>
        <v>9.259259259259256E-2</v>
      </c>
      <c r="K57" s="51">
        <v>180</v>
      </c>
      <c r="L57">
        <v>3</v>
      </c>
      <c r="M57" s="42">
        <v>600000</v>
      </c>
      <c r="N57">
        <v>180</v>
      </c>
      <c r="O57" s="42">
        <v>1000000</v>
      </c>
      <c r="P57" s="41">
        <f t="shared" ref="P57:P60" si="4">10^14</f>
        <v>100000000000000</v>
      </c>
      <c r="Q57" s="59">
        <f>12*1.2</f>
        <v>14.399999999999999</v>
      </c>
      <c r="R57" s="5">
        <v>3.76</v>
      </c>
      <c r="S57" s="5">
        <v>2.5</v>
      </c>
      <c r="T57" s="140">
        <v>0.8</v>
      </c>
      <c r="U57" s="144">
        <f>(((Table5[[#This Row],[Watts Active]]*Power_On_Hours_Year/1000)*Active_Duty_Cycle)+((Table5[[#This Row],[Watts Idle]]*Power_On_Hours_Year/1000)*(100%-Active_Duty_Cycle)))*CostPerKWH</f>
        <v>3.0154214399999999</v>
      </c>
      <c r="V57" s="144">
        <f>Table5[Energy$year]/Table5[[#This Row],[SizTB]]</f>
        <v>3.0154214399999999</v>
      </c>
      <c r="W57" s="158">
        <v>62.71</v>
      </c>
      <c r="X57" s="10">
        <f>Table5[[#This Row],[Cost]]/Table5[[#This Row],[SizTB]]</f>
        <v>62.71</v>
      </c>
      <c r="Y57" s="11">
        <f>Table5[[#This Row],[Cost]]+((CompareWarrYrs-Table5[[#This Row],[S]])*(Incremental_Warr_Yr*Table5[[#This Row],[Cost]]))</f>
        <v>76.506200000000007</v>
      </c>
      <c r="Z57" s="6">
        <f>Table5[[#This Row],[$+Warr]]/Table5[[#This Row],[SizTB]]</f>
        <v>76.506200000000007</v>
      </c>
      <c r="AA57" s="10">
        <f>Table5[[#This Row],[$PerTB]]/CompareWarrYrs</f>
        <v>15.301240000000002</v>
      </c>
      <c r="AB57" s="46" t="s">
        <v>46</v>
      </c>
    </row>
    <row r="58" spans="1:28">
      <c r="A58" s="1">
        <v>43053</v>
      </c>
      <c r="B58" t="s">
        <v>10</v>
      </c>
      <c r="C58" s="127" t="s">
        <v>13</v>
      </c>
      <c r="D58" s="33" t="s">
        <v>51</v>
      </c>
      <c r="E58" s="109">
        <v>3.5</v>
      </c>
      <c r="F58" s="95">
        <v>2</v>
      </c>
      <c r="G58" s="48">
        <v>5900</v>
      </c>
      <c r="H58" s="5">
        <v>5.0999999999999996</v>
      </c>
      <c r="I58" s="5">
        <v>11.99</v>
      </c>
      <c r="J58" s="68">
        <f>(Table5[[#This Row],[RPM]]/5400-1)</f>
        <v>9.259259259259256E-2</v>
      </c>
      <c r="K58" s="51">
        <v>180</v>
      </c>
      <c r="L58">
        <v>3</v>
      </c>
      <c r="M58" s="42">
        <v>600000</v>
      </c>
      <c r="N58">
        <v>180</v>
      </c>
      <c r="O58" s="42">
        <v>1000000</v>
      </c>
      <c r="P58" s="41">
        <f t="shared" si="4"/>
        <v>100000000000000</v>
      </c>
      <c r="Q58" s="59">
        <f>12*2</f>
        <v>24</v>
      </c>
      <c r="R58" s="5">
        <v>4.3</v>
      </c>
      <c r="S58" s="5">
        <v>3.56</v>
      </c>
      <c r="T58" s="140">
        <v>0.8</v>
      </c>
      <c r="U58" s="144">
        <f>(((Table5[[#This Row],[Watts Active]]*Power_On_Hours_Year/1000)*Active_Duty_Cycle)+((Table5[[#This Row],[Watts Idle]]*Power_On_Hours_Year/1000)*(100%-Active_Duty_Cycle)))*CostPerKWH</f>
        <v>4.0629297600000003</v>
      </c>
      <c r="V58" s="144">
        <f>Table5[Energy$year]/Table5[[#This Row],[SizTB]]</f>
        <v>2.0314648800000001</v>
      </c>
      <c r="W58" s="158">
        <v>84.99</v>
      </c>
      <c r="X58" s="10">
        <f>Table5[[#This Row],[Cost]]/Table5[[#This Row],[SizTB]]</f>
        <v>42.494999999999997</v>
      </c>
      <c r="Y58" s="11">
        <f>Table5[[#This Row],[Cost]]+((CompareWarrYrs-Table5[[#This Row],[S]])*(Incremental_Warr_Yr*Table5[[#This Row],[Cost]]))</f>
        <v>103.6878</v>
      </c>
      <c r="Z58" s="6">
        <f>Table5[[#This Row],[$+Warr]]/Table5[[#This Row],[SizTB]]</f>
        <v>51.843899999999998</v>
      </c>
      <c r="AA58" s="10">
        <f>Table5[[#This Row],[$PerTB]]/CompareWarrYrs</f>
        <v>10.368779999999999</v>
      </c>
      <c r="AB58" s="46"/>
    </row>
    <row r="59" spans="1:28">
      <c r="A59" s="1">
        <v>43053</v>
      </c>
      <c r="B59" t="s">
        <v>10</v>
      </c>
      <c r="C59" s="127" t="s">
        <v>13</v>
      </c>
      <c r="D59" s="33" t="s">
        <v>51</v>
      </c>
      <c r="E59" s="109">
        <v>3.5</v>
      </c>
      <c r="F59" s="95">
        <v>3</v>
      </c>
      <c r="G59" s="48">
        <v>5900</v>
      </c>
      <c r="H59" s="5">
        <v>5.0999999999999996</v>
      </c>
      <c r="I59" s="5">
        <v>11.99</v>
      </c>
      <c r="J59" s="68">
        <f>(Table5[[#This Row],[RPM]]/5400-1)</f>
        <v>9.259259259259256E-2</v>
      </c>
      <c r="K59" s="51">
        <v>180</v>
      </c>
      <c r="L59">
        <v>3</v>
      </c>
      <c r="M59" s="42">
        <v>600000</v>
      </c>
      <c r="N59">
        <v>180</v>
      </c>
      <c r="O59" s="42">
        <v>1000000</v>
      </c>
      <c r="P59" s="41">
        <f t="shared" si="4"/>
        <v>100000000000000</v>
      </c>
      <c r="Q59" s="59">
        <f>12*2</f>
        <v>24</v>
      </c>
      <c r="R59" s="5">
        <v>4.8</v>
      </c>
      <c r="S59" s="5">
        <v>4.8</v>
      </c>
      <c r="T59" s="140">
        <v>0.6</v>
      </c>
      <c r="U59" s="144">
        <f>(((Table5[[#This Row],[Watts Active]]*Power_On_Hours_Year/1000)*Active_Duty_Cycle)+((Table5[[#This Row],[Watts Idle]]*Power_On_Hours_Year/1000)*(100%-Active_Duty_Cycle)))*CostPerKWH</f>
        <v>5.2594560000000001</v>
      </c>
      <c r="V59" s="144">
        <f>Table5[Energy$year]/Table5[[#This Row],[SizTB]]</f>
        <v>1.753152</v>
      </c>
      <c r="W59" s="158">
        <v>104.99</v>
      </c>
      <c r="X59" s="10">
        <f>Table5[[#This Row],[Cost]]/Table5[[#This Row],[SizTB]]</f>
        <v>34.996666666666663</v>
      </c>
      <c r="Y59" s="11">
        <f>Table5[[#This Row],[Cost]]+((CompareWarrYrs-Table5[[#This Row],[S]])*(Incremental_Warr_Yr*Table5[[#This Row],[Cost]]))</f>
        <v>128.08779999999999</v>
      </c>
      <c r="Z59" s="6">
        <f>Table5[[#This Row],[$+Warr]]/Table5[[#This Row],[SizTB]]</f>
        <v>42.695933333333329</v>
      </c>
      <c r="AA59" s="10">
        <f>Table5[[#This Row],[$PerTB]]/CompareWarrYrs</f>
        <v>8.5391866666666658</v>
      </c>
      <c r="AB59" s="46"/>
    </row>
    <row r="60" spans="1:28">
      <c r="A60" s="1">
        <v>43053</v>
      </c>
      <c r="B60" t="s">
        <v>10</v>
      </c>
      <c r="C60" s="127" t="s">
        <v>13</v>
      </c>
      <c r="D60" s="33" t="s">
        <v>51</v>
      </c>
      <c r="E60" s="109">
        <v>3.5</v>
      </c>
      <c r="F60" s="95">
        <v>4</v>
      </c>
      <c r="G60" s="48">
        <v>5900</v>
      </c>
      <c r="H60" s="5">
        <v>5.0999999999999996</v>
      </c>
      <c r="I60" s="5">
        <v>9.5</v>
      </c>
      <c r="J60" s="68">
        <f>(Table5[[#This Row],[RPM]]/5400-1)</f>
        <v>9.259259259259256E-2</v>
      </c>
      <c r="K60" s="51">
        <v>180</v>
      </c>
      <c r="L60">
        <v>3</v>
      </c>
      <c r="M60" s="42">
        <v>600000</v>
      </c>
      <c r="N60">
        <v>180</v>
      </c>
      <c r="O60" s="42">
        <v>1000000</v>
      </c>
      <c r="P60" s="41">
        <f t="shared" si="4"/>
        <v>100000000000000</v>
      </c>
      <c r="Q60" s="59">
        <f t="shared" ref="Q60:Q62" si="5">12*1.8</f>
        <v>21.6</v>
      </c>
      <c r="R60" s="5">
        <v>4.8</v>
      </c>
      <c r="S60" s="5">
        <v>3.95</v>
      </c>
      <c r="T60" s="140">
        <v>0.5</v>
      </c>
      <c r="U60" s="144">
        <f>(((Table5[[#This Row],[Watts Active]]*Power_On_Hours_Year/1000)*Active_Duty_Cycle)+((Table5[[#This Row],[Watts Idle]]*Power_On_Hours_Year/1000)*(100%-Active_Duty_Cycle)))*CostPerKWH</f>
        <v>4.5143664000000001</v>
      </c>
      <c r="V60" s="144">
        <f>Table5[Energy$year]/Table5[[#This Row],[SizTB]]</f>
        <v>1.1285916</v>
      </c>
      <c r="W60" s="158">
        <v>129.99</v>
      </c>
      <c r="X60" s="10">
        <f>Table5[[#This Row],[Cost]]/Table5[[#This Row],[SizTB]]</f>
        <v>32.497500000000002</v>
      </c>
      <c r="Y60" s="11">
        <f>Table5[[#This Row],[Cost]]+((CompareWarrYrs-Table5[[#This Row],[S]])*(Incremental_Warr_Yr*Table5[[#This Row],[Cost]]))</f>
        <v>158.58780000000002</v>
      </c>
      <c r="Z60" s="6">
        <f>Table5[[#This Row],[$+Warr]]/Table5[[#This Row],[SizTB]]</f>
        <v>39.646950000000004</v>
      </c>
      <c r="AA60" s="10">
        <f>Table5[[#This Row],[$PerTB]]/CompareWarrYrs</f>
        <v>7.9293900000000006</v>
      </c>
      <c r="AB60" s="46"/>
    </row>
    <row r="61" spans="1:28">
      <c r="A61" s="1">
        <v>43053</v>
      </c>
      <c r="B61" t="s">
        <v>10</v>
      </c>
      <c r="C61" s="127" t="s">
        <v>13</v>
      </c>
      <c r="D61" s="33" t="s">
        <v>51</v>
      </c>
      <c r="E61" s="109">
        <v>3.5</v>
      </c>
      <c r="F61" s="95">
        <v>6</v>
      </c>
      <c r="G61" s="48">
        <v>7200</v>
      </c>
      <c r="H61" s="5">
        <v>4</v>
      </c>
      <c r="I61" s="5">
        <v>9.5</v>
      </c>
      <c r="J61" s="68">
        <f>(Table5[[#This Row],[RPM]]/5400-1)</f>
        <v>0.33333333333333326</v>
      </c>
      <c r="K61" s="51">
        <v>210</v>
      </c>
      <c r="L61">
        <v>3</v>
      </c>
      <c r="M61" s="42">
        <v>600000</v>
      </c>
      <c r="N61">
        <v>180</v>
      </c>
      <c r="O61" s="42">
        <v>1000000</v>
      </c>
      <c r="P61" s="41">
        <v>1000000000000000</v>
      </c>
      <c r="Q61" s="59">
        <f t="shared" si="5"/>
        <v>21.6</v>
      </c>
      <c r="R61" s="5">
        <v>8.1</v>
      </c>
      <c r="S61" s="5">
        <v>7.2</v>
      </c>
      <c r="T61" s="140">
        <v>0.6</v>
      </c>
      <c r="U61" s="144">
        <f>(((Table5[[#This Row],[Watts Active]]*Power_On_Hours_Year/1000)*Active_Duty_Cycle)+((Table5[[#This Row],[Watts Idle]]*Power_On_Hours_Year/1000)*(100%-Active_Duty_Cycle)))*CostPerKWH</f>
        <v>8.0864136000000002</v>
      </c>
      <c r="V61" s="144">
        <f>Table5[Energy$year]/Table5[[#This Row],[SizTB]]</f>
        <v>1.3477356</v>
      </c>
      <c r="W61" s="158">
        <v>199.99</v>
      </c>
      <c r="X61" s="10">
        <f>Table5[[#This Row],[Cost]]/Table5[[#This Row],[SizTB]]</f>
        <v>33.331666666666671</v>
      </c>
      <c r="Y61" s="11">
        <f>Table5[[#This Row],[Cost]]+((CompareWarrYrs-Table5[[#This Row],[S]])*(Incremental_Warr_Yr*Table5[[#This Row],[Cost]]))</f>
        <v>243.98780000000002</v>
      </c>
      <c r="Z61" s="6">
        <f>Table5[[#This Row],[$+Warr]]/Table5[[#This Row],[SizTB]]</f>
        <v>40.664633333333335</v>
      </c>
      <c r="AA61" s="10">
        <f>Table5[[#This Row],[$PerTB]]/CompareWarrYrs</f>
        <v>8.1329266666666662</v>
      </c>
      <c r="AB61" s="46"/>
    </row>
    <row r="62" spans="1:28">
      <c r="A62" s="1">
        <v>43053</v>
      </c>
      <c r="B62" t="s">
        <v>10</v>
      </c>
      <c r="C62" s="127" t="s">
        <v>13</v>
      </c>
      <c r="D62" s="33" t="s">
        <v>51</v>
      </c>
      <c r="E62" s="109">
        <v>3.5</v>
      </c>
      <c r="F62" s="95">
        <v>8</v>
      </c>
      <c r="G62" s="48">
        <v>7200</v>
      </c>
      <c r="H62" s="5">
        <v>4</v>
      </c>
      <c r="I62" s="5">
        <v>9.5</v>
      </c>
      <c r="J62" s="68">
        <f>(Table5[[#This Row],[RPM]]/5400-1)</f>
        <v>0.33333333333333326</v>
      </c>
      <c r="K62" s="51">
        <v>210</v>
      </c>
      <c r="L62">
        <v>3</v>
      </c>
      <c r="M62" s="42">
        <v>600000</v>
      </c>
      <c r="N62">
        <v>180</v>
      </c>
      <c r="O62" s="42">
        <v>1000000</v>
      </c>
      <c r="P62" s="41">
        <v>1000000000000000</v>
      </c>
      <c r="Q62" s="59">
        <f t="shared" si="5"/>
        <v>21.6</v>
      </c>
      <c r="R62" s="5">
        <v>8.8000000000000007</v>
      </c>
      <c r="S62" s="5">
        <v>7.6</v>
      </c>
      <c r="T62" s="140">
        <v>0.6</v>
      </c>
      <c r="U62" s="144">
        <f>(((Table5[[#This Row],[Watts Active]]*Power_On_Hours_Year/1000)*Active_Duty_Cycle)+((Table5[[#This Row],[Watts Idle]]*Power_On_Hours_Year/1000)*(100%-Active_Duty_Cycle)))*CostPerKWH</f>
        <v>8.5904448000000002</v>
      </c>
      <c r="V62" s="144">
        <f>Table5[Energy$year]/Table5[[#This Row],[SizTB]]</f>
        <v>1.0738056</v>
      </c>
      <c r="W62" s="158">
        <v>257.86</v>
      </c>
      <c r="X62" s="10">
        <f>Table5[[#This Row],[Cost]]/Table5[[#This Row],[SizTB]]</f>
        <v>32.232500000000002</v>
      </c>
      <c r="Y62" s="11">
        <f>Table5[[#This Row],[Cost]]+((CompareWarrYrs-Table5[[#This Row],[S]])*(Incremental_Warr_Yr*Table5[[#This Row],[Cost]]))</f>
        <v>314.58920000000001</v>
      </c>
      <c r="Z62" s="6">
        <f>Table5[[#This Row],[$+Warr]]/Table5[[#This Row],[SizTB]]</f>
        <v>39.323650000000001</v>
      </c>
      <c r="AA62" s="10">
        <f>Table5[[#This Row],[$PerTB]]/CompareWarrYrs</f>
        <v>7.8647299999999998</v>
      </c>
      <c r="AB62" s="46"/>
    </row>
    <row r="63" spans="1:28">
      <c r="A63" s="1">
        <v>43053</v>
      </c>
      <c r="B63" t="s">
        <v>10</v>
      </c>
      <c r="C63" s="127" t="s">
        <v>13</v>
      </c>
      <c r="D63" s="33" t="s">
        <v>51</v>
      </c>
      <c r="E63" s="109">
        <v>3.5</v>
      </c>
      <c r="F63" s="95">
        <v>10</v>
      </c>
      <c r="G63" s="48">
        <v>7200</v>
      </c>
      <c r="H63" s="5"/>
      <c r="I63" s="5"/>
      <c r="J63" s="68">
        <f>(Table5[[#This Row],[RPM]]/5400-1)</f>
        <v>0.33333333333333326</v>
      </c>
      <c r="K63" s="51">
        <v>210</v>
      </c>
      <c r="L63">
        <v>3</v>
      </c>
      <c r="M63" s="42">
        <v>600000</v>
      </c>
      <c r="N63">
        <v>180</v>
      </c>
      <c r="O63" s="42">
        <v>1000000</v>
      </c>
      <c r="P63" s="41">
        <v>1000000000000000</v>
      </c>
      <c r="Q63" s="59">
        <f>12*1.8</f>
        <v>21.6</v>
      </c>
      <c r="R63" s="5">
        <v>7.8</v>
      </c>
      <c r="S63" s="5">
        <v>5</v>
      </c>
      <c r="T63" s="140">
        <v>0.8</v>
      </c>
      <c r="U63" s="144">
        <f>(((Table5[[#This Row],[Watts Active]]*Power_On_Hours_Year/1000)*Active_Duty_Cycle)+((Table5[[#This Row],[Watts Idle]]*Power_On_Hours_Year/1000)*(100%-Active_Duty_Cycle)))*CostPerKWH</f>
        <v>6.0922032000000002</v>
      </c>
      <c r="V63" s="144">
        <f>Table5[Energy$year]/Table5[[#This Row],[SizTB]]</f>
        <v>0.60922032000000004</v>
      </c>
      <c r="W63" s="158">
        <v>349.99</v>
      </c>
      <c r="X63" s="10">
        <f>Table5[[#This Row],[Cost]]/Table5[[#This Row],[SizTB]]</f>
        <v>34.999000000000002</v>
      </c>
      <c r="Y63" s="11">
        <f>Table5[[#This Row],[Cost]]+((CompareWarrYrs-Table5[[#This Row],[S]])*(Incremental_Warr_Yr*Table5[[#This Row],[Cost]]))</f>
        <v>426.98779999999999</v>
      </c>
      <c r="Z63" s="6">
        <f>Table5[[#This Row],[$+Warr]]/Table5[[#This Row],[SizTB]]</f>
        <v>42.698779999999999</v>
      </c>
      <c r="AA63" s="10">
        <f>Table5[[#This Row],[$PerTB]]/CompareWarrYrs</f>
        <v>8.5397560000000006</v>
      </c>
      <c r="AB63" s="46"/>
    </row>
    <row r="64" spans="1:28">
      <c r="A64" s="1">
        <v>43053</v>
      </c>
      <c r="B64" t="s">
        <v>10</v>
      </c>
      <c r="C64" s="127" t="s">
        <v>13</v>
      </c>
      <c r="D64" s="139" t="s">
        <v>51</v>
      </c>
      <c r="E64" s="109">
        <v>3.5</v>
      </c>
      <c r="F64" s="95">
        <v>12</v>
      </c>
      <c r="G64" s="48">
        <v>7200</v>
      </c>
      <c r="H64" s="5">
        <v>4.16</v>
      </c>
      <c r="I64" s="5"/>
      <c r="J64" s="68">
        <f>(Table5[[#This Row],[RPM]]/5400-1)</f>
        <v>0.33333333333333326</v>
      </c>
      <c r="K64" s="51">
        <v>210</v>
      </c>
      <c r="L64">
        <v>3</v>
      </c>
      <c r="M64" s="42">
        <v>600000</v>
      </c>
      <c r="N64">
        <v>180</v>
      </c>
      <c r="O64" s="42">
        <v>1000000</v>
      </c>
      <c r="P64" s="41">
        <v>1000000000000000</v>
      </c>
      <c r="Q64" s="59">
        <f>1.8*12</f>
        <v>21.6</v>
      </c>
      <c r="R64" s="5">
        <v>7.8</v>
      </c>
      <c r="S64" s="5">
        <v>5</v>
      </c>
      <c r="T64" s="140">
        <v>0.8</v>
      </c>
      <c r="U64" s="144">
        <f>(((Table5[[#This Row],[Watts Active]]*Power_On_Hours_Year/1000)*Active_Duty_Cycle)+((Table5[[#This Row],[Watts Idle]]*Power_On_Hours_Year/1000)*(100%-Active_Duty_Cycle)))*CostPerKWH</f>
        <v>6.0922032000000002</v>
      </c>
      <c r="V64" s="144">
        <f>Table5[Energy$year]/Table5[[#This Row],[SizTB]]</f>
        <v>0.50768360000000001</v>
      </c>
      <c r="W64" s="158">
        <v>472.49</v>
      </c>
      <c r="X64" s="10">
        <f>Table5[[#This Row],[Cost]]/Table5[[#This Row],[SizTB]]</f>
        <v>39.374166666666667</v>
      </c>
      <c r="Y64" s="11">
        <v>472.49</v>
      </c>
      <c r="Z64" s="6">
        <f>Table5[[#This Row],[$+Warr]]/Table5[[#This Row],[SizTB]]</f>
        <v>39.374166666666667</v>
      </c>
      <c r="AA64" s="10">
        <f>Table5[[#This Row],[$PerTB]]/CompareWarrYrs</f>
        <v>7.8748333333333331</v>
      </c>
      <c r="AB64" s="46"/>
    </row>
    <row r="65" spans="1:28">
      <c r="A65" s="1">
        <v>43053</v>
      </c>
      <c r="B65" t="s">
        <v>10</v>
      </c>
      <c r="C65" s="127" t="s">
        <v>17</v>
      </c>
      <c r="D65" s="33" t="s">
        <v>51</v>
      </c>
      <c r="E65" s="109">
        <v>3.5</v>
      </c>
      <c r="F65" s="95">
        <v>2</v>
      </c>
      <c r="G65" s="48">
        <v>7200</v>
      </c>
      <c r="H65" s="5">
        <v>4.16</v>
      </c>
      <c r="I65" s="5"/>
      <c r="J65" s="68">
        <f>(Table5[[#This Row],[RPM]]/5400-1)</f>
        <v>0.33333333333333326</v>
      </c>
      <c r="K65" s="51">
        <v>195</v>
      </c>
      <c r="L65">
        <v>5</v>
      </c>
      <c r="M65" s="42"/>
      <c r="N65">
        <v>300</v>
      </c>
      <c r="O65" s="42">
        <v>1200000</v>
      </c>
      <c r="P65" s="41">
        <v>1000000000000000</v>
      </c>
      <c r="Q65" s="59">
        <f>12*2</f>
        <v>24</v>
      </c>
      <c r="R65" s="5">
        <v>6.5</v>
      </c>
      <c r="S65" s="5">
        <v>4.6100000000000003</v>
      </c>
      <c r="T65" s="140">
        <v>0.8</v>
      </c>
      <c r="U65" s="144">
        <f>(((Table5[[#This Row],[Watts Active]]*Power_On_Hours_Year/1000)*Active_Duty_Cycle)+((Table5[[#This Row],[Watts Idle]]*Power_On_Hours_Year/1000)*(100%-Active_Duty_Cycle)))*CostPerKWH</f>
        <v>5.4654513600000012</v>
      </c>
      <c r="V65" s="144">
        <f>Table5[Energy$year]/Table5[[#This Row],[SizTB]]</f>
        <v>2.7327256800000006</v>
      </c>
      <c r="W65" s="158">
        <v>124.99</v>
      </c>
      <c r="X65" s="10">
        <f>Table5[[#This Row],[Cost]]/Table5[[#This Row],[SizTB]]</f>
        <v>62.494999999999997</v>
      </c>
      <c r="Y65" s="11">
        <f>Table5[[#This Row],[Cost]]+((CompareWarrYrs-Table5[[#This Row],[S]])*(Incremental_Warr_Yr*Table5[[#This Row],[Cost]]))</f>
        <v>124.99</v>
      </c>
      <c r="Z65" s="6">
        <f>Table5[[#This Row],[$+Warr]]/Table5[[#This Row],[SizTB]]</f>
        <v>62.494999999999997</v>
      </c>
      <c r="AA65" s="10">
        <f>Table5[[#This Row],[$PerTB]]/CompareWarrYrs</f>
        <v>12.498999999999999</v>
      </c>
      <c r="AB65" s="46"/>
    </row>
    <row r="66" spans="1:28">
      <c r="A66" s="1">
        <v>43053</v>
      </c>
      <c r="B66" t="s">
        <v>10</v>
      </c>
      <c r="C66" s="127" t="s">
        <v>17</v>
      </c>
      <c r="D66" s="33" t="s">
        <v>51</v>
      </c>
      <c r="E66" s="109">
        <v>3.5</v>
      </c>
      <c r="F66" s="95">
        <v>4</v>
      </c>
      <c r="G66" s="48">
        <v>7200</v>
      </c>
      <c r="H66" s="5">
        <v>4.16</v>
      </c>
      <c r="I66" s="5"/>
      <c r="J66" s="68">
        <f>(Table5[[#This Row],[RPM]]/5400-1)</f>
        <v>0.33333333333333326</v>
      </c>
      <c r="K66" s="51">
        <v>214</v>
      </c>
      <c r="L66">
        <v>5</v>
      </c>
      <c r="M66" s="42"/>
      <c r="N66">
        <v>300</v>
      </c>
      <c r="O66" s="42">
        <v>1200000</v>
      </c>
      <c r="P66" s="41">
        <v>1000000000000000</v>
      </c>
      <c r="Q66" s="59">
        <f>12*2</f>
        <v>24</v>
      </c>
      <c r="R66" s="5">
        <v>8.5</v>
      </c>
      <c r="S66" s="5">
        <v>5.45</v>
      </c>
      <c r="T66" s="140">
        <v>0.6</v>
      </c>
      <c r="U66" s="144">
        <f>(((Table5[[#This Row],[Watts Active]]*Power_On_Hours_Year/1000)*Active_Duty_Cycle)+((Table5[[#This Row],[Watts Idle]]*Power_On_Hours_Year/1000)*(100%-Active_Duty_Cycle)))*CostPerKWH</f>
        <v>6.6400632000000002</v>
      </c>
      <c r="V66" s="144">
        <f>Table5[Energy$year]/Table5[[#This Row],[SizTB]]</f>
        <v>1.6600158</v>
      </c>
      <c r="W66" s="158">
        <v>189.99</v>
      </c>
      <c r="X66" s="10">
        <f>Table5[[#This Row],[Cost]]/Table5[[#This Row],[SizTB]]</f>
        <v>47.497500000000002</v>
      </c>
      <c r="Y66" s="11">
        <f>Table5[[#This Row],[Cost]]+((CompareWarrYrs-Table5[[#This Row],[S]])*(Incremental_Warr_Yr*Table5[[#This Row],[Cost]]))</f>
        <v>189.99</v>
      </c>
      <c r="Z66" s="6">
        <f>Table5[[#This Row],[$+Warr]]/Table5[[#This Row],[SizTB]]</f>
        <v>47.497500000000002</v>
      </c>
      <c r="AA66" s="10">
        <f>Table5[[#This Row],[$PerTB]]/CompareWarrYrs</f>
        <v>9.4995000000000012</v>
      </c>
      <c r="AB66" s="46"/>
    </row>
    <row r="67" spans="1:28">
      <c r="A67" s="1">
        <v>43053</v>
      </c>
      <c r="B67" t="s">
        <v>10</v>
      </c>
      <c r="C67" s="127" t="s">
        <v>17</v>
      </c>
      <c r="D67" s="33" t="s">
        <v>51</v>
      </c>
      <c r="E67" s="109">
        <v>3.5</v>
      </c>
      <c r="F67" s="95">
        <v>6</v>
      </c>
      <c r="G67" s="48">
        <v>7200</v>
      </c>
      <c r="H67" s="5">
        <v>4.16</v>
      </c>
      <c r="I67" s="5"/>
      <c r="J67" s="68">
        <f>(Table5[[#This Row],[RPM]]/5400-1)</f>
        <v>0.33333333333333326</v>
      </c>
      <c r="K67" s="51">
        <v>214</v>
      </c>
      <c r="L67">
        <v>5</v>
      </c>
      <c r="M67" s="42"/>
      <c r="N67">
        <v>300</v>
      </c>
      <c r="O67" s="42">
        <v>1200000</v>
      </c>
      <c r="P67" s="41">
        <v>1000000000000000</v>
      </c>
      <c r="Q67" s="59">
        <f>12*2</f>
        <v>24</v>
      </c>
      <c r="R67" s="5">
        <v>8.1</v>
      </c>
      <c r="S67" s="5">
        <v>7.5</v>
      </c>
      <c r="T67" s="140">
        <v>0.6</v>
      </c>
      <c r="U67" s="144">
        <f>(((Table5[[#This Row],[Watts Active]]*Power_On_Hours_Year/1000)*Active_Duty_Cycle)+((Table5[[#This Row],[Watts Idle]]*Power_On_Hours_Year/1000)*(100%-Active_Duty_Cycle)))*CostPerKWH</f>
        <v>8.3493864000000002</v>
      </c>
      <c r="V67" s="144">
        <f>Table5[Energy$year]/Table5[[#This Row],[SizTB]]</f>
        <v>1.3915644</v>
      </c>
      <c r="W67" s="158">
        <v>259.99</v>
      </c>
      <c r="X67" s="10">
        <f>Table5[[#This Row],[Cost]]/Table5[[#This Row],[SizTB]]</f>
        <v>43.331666666666671</v>
      </c>
      <c r="Y67" s="11">
        <f>Table5[[#This Row],[Cost]]+((CompareWarrYrs-Table5[[#This Row],[S]])*(Incremental_Warr_Yr*Table5[[#This Row],[Cost]]))</f>
        <v>259.99</v>
      </c>
      <c r="Z67" s="6">
        <f>Table5[[#This Row],[$+Warr]]/Table5[[#This Row],[SizTB]]</f>
        <v>43.331666666666671</v>
      </c>
      <c r="AA67" s="10">
        <f>Table5[[#This Row],[$PerTB]]/CompareWarrYrs</f>
        <v>8.6663333333333341</v>
      </c>
      <c r="AB67" s="46"/>
    </row>
    <row r="68" spans="1:28">
      <c r="A68" s="1">
        <v>43053</v>
      </c>
      <c r="B68" t="s">
        <v>10</v>
      </c>
      <c r="C68" s="127" t="s">
        <v>17</v>
      </c>
      <c r="D68" s="33" t="s">
        <v>51</v>
      </c>
      <c r="E68" s="109">
        <v>3.5</v>
      </c>
      <c r="F68" s="95">
        <v>8</v>
      </c>
      <c r="G68" s="48">
        <v>7200</v>
      </c>
      <c r="H68" s="5">
        <v>4.16</v>
      </c>
      <c r="I68" s="5"/>
      <c r="J68" s="68">
        <f>(Table5[[#This Row],[RPM]]/5400-1)</f>
        <v>0.33333333333333326</v>
      </c>
      <c r="K68" s="51">
        <v>214</v>
      </c>
      <c r="L68">
        <v>5</v>
      </c>
      <c r="M68" s="42"/>
      <c r="N68">
        <v>300</v>
      </c>
      <c r="O68" s="42">
        <v>1200000</v>
      </c>
      <c r="P68" s="41">
        <v>1000000000000000</v>
      </c>
      <c r="Q68" s="59">
        <f>12*2</f>
        <v>24</v>
      </c>
      <c r="R68" s="5">
        <v>7.4</v>
      </c>
      <c r="S68" s="5">
        <v>4.4000000000000004</v>
      </c>
      <c r="T68" s="140">
        <v>0.8</v>
      </c>
      <c r="U68" s="144">
        <f>(((Table5[[#This Row],[Watts Active]]*Power_On_Hours_Year/1000)*Active_Duty_Cycle)+((Table5[[#This Row],[Watts Idle]]*Power_On_Hours_Year/1000)*(100%-Active_Duty_Cycle)))*CostPerKWH</f>
        <v>5.478600000000001</v>
      </c>
      <c r="V68" s="144">
        <f>Table5[Energy$year]/Table5[[#This Row],[SizTB]]</f>
        <v>0.68482500000000013</v>
      </c>
      <c r="W68" s="158">
        <v>319.99</v>
      </c>
      <c r="X68" s="10">
        <f>Table5[[#This Row],[Cost]]/Table5[[#This Row],[SizTB]]</f>
        <v>39.998750000000001</v>
      </c>
      <c r="Y68" s="11">
        <f>Table5[[#This Row],[Cost]]+((CompareWarrYrs-Table5[[#This Row],[S]])*(Incremental_Warr_Yr*Table5[[#This Row],[Cost]]))</f>
        <v>319.99</v>
      </c>
      <c r="Z68" s="6">
        <f>Table5[[#This Row],[$+Warr]]/Table5[[#This Row],[SizTB]]</f>
        <v>39.998750000000001</v>
      </c>
      <c r="AA68" s="10">
        <f>Table5[[#This Row],[$PerTB]]/CompareWarrYrs</f>
        <v>7.9997500000000006</v>
      </c>
      <c r="AB68" s="46"/>
    </row>
    <row r="69" spans="1:28">
      <c r="A69" s="1">
        <v>43053</v>
      </c>
      <c r="B69" t="s">
        <v>10</v>
      </c>
      <c r="C69" s="127" t="s">
        <v>17</v>
      </c>
      <c r="D69" s="33" t="s">
        <v>51</v>
      </c>
      <c r="E69" s="109">
        <v>3.5</v>
      </c>
      <c r="F69" s="95">
        <v>10</v>
      </c>
      <c r="G69" s="48">
        <v>7200</v>
      </c>
      <c r="H69" s="5">
        <v>4.16</v>
      </c>
      <c r="I69" s="5"/>
      <c r="J69" s="68">
        <f>(Table5[[#This Row],[RPM]]/5400-1)</f>
        <v>0.33333333333333326</v>
      </c>
      <c r="K69" s="51">
        <v>214</v>
      </c>
      <c r="L69">
        <v>5</v>
      </c>
      <c r="M69" s="42"/>
      <c r="N69">
        <v>300</v>
      </c>
      <c r="O69" s="42">
        <v>1200000</v>
      </c>
      <c r="P69" s="41">
        <v>1000000000000000</v>
      </c>
      <c r="Q69" s="59">
        <v>24</v>
      </c>
      <c r="R69" s="5">
        <v>7.4</v>
      </c>
      <c r="S69" s="5">
        <v>5</v>
      </c>
      <c r="T69" s="140">
        <v>0.8</v>
      </c>
      <c r="U69" s="144">
        <f>(((Table5[[#This Row],[Watts Active]]*Power_On_Hours_Year/1000)*Active_Duty_Cycle)+((Table5[[#This Row],[Watts Idle]]*Power_On_Hours_Year/1000)*(100%-Active_Duty_Cycle)))*CostPerKWH</f>
        <v>6.0045456000000001</v>
      </c>
      <c r="V69" s="144">
        <f>Table5[Energy$year]/Table5[[#This Row],[SizTB]]</f>
        <v>0.60045455999999997</v>
      </c>
      <c r="W69" s="158">
        <v>409.99</v>
      </c>
      <c r="X69" s="10">
        <f>Table5[[#This Row],[Cost]]/Table5[[#This Row],[SizTB]]</f>
        <v>40.999000000000002</v>
      </c>
      <c r="Y69" s="11">
        <f>Table5[[#This Row],[Cost]]+((CompareWarrYrs-Table5[[#This Row],[S]])*(Incremental_Warr_Yr*Table5[[#This Row],[Cost]]))</f>
        <v>409.99</v>
      </c>
      <c r="Z69" s="6">
        <f>Table5[[#This Row],[$+Warr]]/Table5[[#This Row],[SizTB]]</f>
        <v>40.999000000000002</v>
      </c>
      <c r="AA69" s="10">
        <f>Table5[[#This Row],[$PerTB]]/CompareWarrYrs</f>
        <v>8.1997999999999998</v>
      </c>
      <c r="AB69" s="46"/>
    </row>
    <row r="70" spans="1:28">
      <c r="A70" s="1">
        <v>43053</v>
      </c>
      <c r="B70" t="s">
        <v>10</v>
      </c>
      <c r="C70" s="127" t="s">
        <v>17</v>
      </c>
      <c r="D70" s="139" t="s">
        <v>51</v>
      </c>
      <c r="E70" s="109">
        <v>3.5</v>
      </c>
      <c r="F70" s="95">
        <v>12</v>
      </c>
      <c r="G70" s="48">
        <v>7200</v>
      </c>
      <c r="H70" s="5">
        <v>4.16</v>
      </c>
      <c r="I70" s="5"/>
      <c r="J70" s="68">
        <f>(Table5[[#This Row],[RPM]]/5400-1)</f>
        <v>0.33333333333333326</v>
      </c>
      <c r="K70" s="51"/>
      <c r="L70">
        <v>5</v>
      </c>
      <c r="M70" s="42"/>
      <c r="N70">
        <v>300</v>
      </c>
      <c r="O70" s="42">
        <v>1200000</v>
      </c>
      <c r="P70" s="41">
        <v>1000000000000000</v>
      </c>
      <c r="Q70" s="59">
        <v>24</v>
      </c>
      <c r="R70" s="5">
        <v>7.8</v>
      </c>
      <c r="S70" s="5">
        <v>5</v>
      </c>
      <c r="T70" s="140">
        <v>0.8</v>
      </c>
      <c r="U70" s="144">
        <f>(((Table5[[#This Row],[Watts Active]]*Power_On_Hours_Year/1000)*Active_Duty_Cycle)+((Table5[[#This Row],[Watts Idle]]*Power_On_Hours_Year/1000)*(100%-Active_Duty_Cycle)))*CostPerKWH</f>
        <v>6.0922032000000002</v>
      </c>
      <c r="V70" s="144">
        <f>Table5[Energy$year]/Table5[[#This Row],[SizTB]]</f>
        <v>0.50768360000000001</v>
      </c>
      <c r="W70" s="158">
        <v>509.99</v>
      </c>
      <c r="X70" s="10">
        <f>Table5[[#This Row],[Cost]]/Table5[[#This Row],[SizTB]]</f>
        <v>42.499166666666667</v>
      </c>
      <c r="Y70" s="11">
        <f>Table5[[#This Row],[Cost]]+((CompareWarrYrs-Table5[[#This Row],[S]])*(Incremental_Warr_Yr*Table5[[#This Row],[Cost]]))</f>
        <v>509.99</v>
      </c>
      <c r="Z70" s="6">
        <f>Table5[[#This Row],[$+Warr]]/Table5[[#This Row],[SizTB]]</f>
        <v>42.499166666666667</v>
      </c>
      <c r="AA70" s="10">
        <f>Table5[[#This Row],[$PerTB]]/CompareWarrYrs</f>
        <v>8.4998333333333331</v>
      </c>
      <c r="AB70" s="46"/>
    </row>
    <row r="71" spans="1:28" ht="15.75" thickBot="1">
      <c r="A71" s="76">
        <v>43046</v>
      </c>
      <c r="B71" s="77" t="s">
        <v>10</v>
      </c>
      <c r="C71" s="126" t="s">
        <v>14</v>
      </c>
      <c r="D71" s="78" t="s">
        <v>51</v>
      </c>
      <c r="E71" s="96">
        <v>3.5</v>
      </c>
      <c r="F71" s="96">
        <v>4</v>
      </c>
      <c r="G71" s="79">
        <v>5900</v>
      </c>
      <c r="H71" s="80">
        <v>5.0999999999999996</v>
      </c>
      <c r="I71" s="80">
        <v>16</v>
      </c>
      <c r="J71" s="81">
        <f>(Table5[[#This Row],[RPM]]/5400-1)</f>
        <v>9.259259259259256E-2</v>
      </c>
      <c r="K71" s="82">
        <v>140</v>
      </c>
      <c r="L71" s="77">
        <v>3</v>
      </c>
      <c r="M71" s="83">
        <v>300000</v>
      </c>
      <c r="N71" s="77">
        <v>180</v>
      </c>
      <c r="O71" s="83">
        <v>800000</v>
      </c>
      <c r="P71" s="41">
        <f t="shared" ref="P71" si="6">10^14</f>
        <v>100000000000000</v>
      </c>
      <c r="Q71" s="85">
        <v>24</v>
      </c>
      <c r="R71" s="80">
        <v>6.49</v>
      </c>
      <c r="S71" s="80">
        <v>4.59</v>
      </c>
      <c r="T71" s="141">
        <v>0.77</v>
      </c>
      <c r="U71" s="146">
        <f>(((Table5[[#This Row],[Watts Active]]*Power_On_Hours_Year/1000)*Active_Duty_Cycle)+((Table5[[#This Row],[Watts Idle]]*Power_On_Hours_Year/1000)*(100%-Active_Duty_Cycle)))*CostPerKWH</f>
        <v>5.4457284000000001</v>
      </c>
      <c r="V71" s="144">
        <f>Table5[Energy$year]/Table5[[#This Row],[SizTB]]</f>
        <v>1.3614321</v>
      </c>
      <c r="W71" s="159">
        <v>189.99</v>
      </c>
      <c r="X71" s="86">
        <f>Table5[[#This Row],[Cost]]/Table5[[#This Row],[SizTB]]</f>
        <v>47.497500000000002</v>
      </c>
      <c r="Y71" s="87">
        <f>Table5[[#This Row],[Cost]]+((CompareWarrYrs-Table5[[#This Row],[S]])*(Incremental_Warr_Yr*Table5[[#This Row],[Cost]]))</f>
        <v>231.7878</v>
      </c>
      <c r="Z71" s="88">
        <f>Table5[[#This Row],[$+Warr]]/Table5[[#This Row],[SizTB]]</f>
        <v>57.946950000000001</v>
      </c>
      <c r="AA71" s="86">
        <f>Table5[[#This Row],[$PerTB]]/CompareWarrYrs</f>
        <v>11.58939</v>
      </c>
      <c r="AB71" s="89"/>
    </row>
    <row r="72" spans="1:28" ht="15.75" thickTop="1">
      <c r="A72" s="136">
        <v>43044</v>
      </c>
      <c r="B72" t="s">
        <v>43</v>
      </c>
      <c r="C72" s="137" t="s">
        <v>121</v>
      </c>
      <c r="D72" s="110" t="s">
        <v>51</v>
      </c>
      <c r="E72" s="131">
        <v>3.5</v>
      </c>
      <c r="F72" s="131">
        <v>6</v>
      </c>
      <c r="G72" s="48">
        <v>7200</v>
      </c>
      <c r="H72" s="5"/>
      <c r="I72" s="5">
        <v>8.5</v>
      </c>
      <c r="J72" s="68">
        <f>(Table5[[#This Row],[RPM]]/5400-1)</f>
        <v>0.33333333333333326</v>
      </c>
      <c r="K72" s="51">
        <v>230</v>
      </c>
      <c r="L72" s="7">
        <v>5</v>
      </c>
      <c r="M72" s="42">
        <v>600000</v>
      </c>
      <c r="N72" s="7">
        <v>550</v>
      </c>
      <c r="O72" s="138">
        <v>2500000</v>
      </c>
      <c r="P72" s="41">
        <f t="shared" ref="P72:P73" si="7">10^16</f>
        <v>1E+16</v>
      </c>
      <c r="Q72" s="59"/>
      <c r="R72" s="5">
        <v>8.3000000000000007</v>
      </c>
      <c r="S72" s="5">
        <v>5.6</v>
      </c>
      <c r="T72" s="140"/>
      <c r="U72" s="144">
        <f>(((Table5[[#This Row],[Watts Active]]*Power_On_Hours_Year/1000)*Active_Duty_Cycle)+((Table5[[#This Row],[Watts Idle]]*Power_On_Hours_Year/1000)*(100%-Active_Duty_Cycle)))*CostPerKWH</f>
        <v>6.7277208000000002</v>
      </c>
      <c r="V72" s="144">
        <f>Table5[Energy$year]/Table5[[#This Row],[SizTB]]</f>
        <v>1.1212868</v>
      </c>
      <c r="W72" s="157">
        <v>272.17</v>
      </c>
      <c r="X72" s="10">
        <f>Table5[[#This Row],[Cost]]/Table5[[#This Row],[SizTB]]</f>
        <v>45.361666666666672</v>
      </c>
      <c r="Y72" s="11">
        <f>Table5[[#This Row],[Cost]]+((CompareWarrYrs-Table5[[#This Row],[S]])*(Incremental_Warr_Yr*Table5[[#This Row],[Cost]]))</f>
        <v>272.17</v>
      </c>
      <c r="Z72" s="6">
        <f>Table5[[#This Row],[$+Warr]]/Table5[[#This Row],[SizTB]]</f>
        <v>45.361666666666672</v>
      </c>
      <c r="AA72" s="10">
        <f>Table5[[#This Row],[$PerTB]]/CompareWarrYrs</f>
        <v>9.0723333333333347</v>
      </c>
      <c r="AB72" s="46" t="s">
        <v>122</v>
      </c>
    </row>
    <row r="73" spans="1:28">
      <c r="A73" s="136">
        <v>43044</v>
      </c>
      <c r="B73" t="s">
        <v>43</v>
      </c>
      <c r="C73" s="137" t="s">
        <v>121</v>
      </c>
      <c r="D73" s="110" t="s">
        <v>51</v>
      </c>
      <c r="E73" s="131">
        <v>3.5</v>
      </c>
      <c r="F73" s="131">
        <v>8</v>
      </c>
      <c r="G73" s="48">
        <v>7200</v>
      </c>
      <c r="H73" s="5"/>
      <c r="I73" s="5">
        <v>8.5</v>
      </c>
      <c r="J73" s="68">
        <f>(Table5[[#This Row],[RPM]]/5400-1)</f>
        <v>0.33333333333333326</v>
      </c>
      <c r="K73" s="51">
        <v>230</v>
      </c>
      <c r="L73" s="7">
        <v>5</v>
      </c>
      <c r="M73" s="42">
        <v>600000</v>
      </c>
      <c r="N73" s="7">
        <v>550</v>
      </c>
      <c r="O73" s="138">
        <v>2500000</v>
      </c>
      <c r="P73" s="41">
        <f t="shared" si="7"/>
        <v>1E+16</v>
      </c>
      <c r="Q73" s="59"/>
      <c r="R73" s="5">
        <v>9.1</v>
      </c>
      <c r="S73" s="5">
        <v>6.4</v>
      </c>
      <c r="T73" s="140"/>
      <c r="U73" s="144">
        <f>(((Table5[[#This Row],[Watts Active]]*Power_On_Hours_Year/1000)*Active_Duty_Cycle)+((Table5[[#This Row],[Watts Idle]]*Power_On_Hours_Year/1000)*(100%-Active_Duty_Cycle)))*CostPerKWH</f>
        <v>7.6042968000000002</v>
      </c>
      <c r="V73" s="144">
        <f>Table5[Energy$year]/Table5[[#This Row],[SizTB]]</f>
        <v>0.95053710000000002</v>
      </c>
      <c r="W73" s="157">
        <v>340.82</v>
      </c>
      <c r="X73" s="10">
        <f>Table5[[#This Row],[Cost]]/Table5[[#This Row],[SizTB]]</f>
        <v>42.602499999999999</v>
      </c>
      <c r="Y73" s="11">
        <f>Table5[[#This Row],[Cost]]+((CompareWarrYrs-Table5[[#This Row],[S]])*(Incremental_Warr_Yr*Table5[[#This Row],[Cost]]))</f>
        <v>340.82</v>
      </c>
      <c r="Z73" s="6">
        <f>Table5[[#This Row],[$+Warr]]/Table5[[#This Row],[SizTB]]</f>
        <v>42.602499999999999</v>
      </c>
      <c r="AA73" s="10">
        <f>Table5[[#This Row],[$PerTB]]/CompareWarrYrs</f>
        <v>8.5205000000000002</v>
      </c>
      <c r="AB73" s="46" t="s">
        <v>122</v>
      </c>
    </row>
    <row r="74" spans="1:28">
      <c r="A74" s="136">
        <v>43044</v>
      </c>
      <c r="B74" t="s">
        <v>43</v>
      </c>
      <c r="C74" s="137" t="s">
        <v>121</v>
      </c>
      <c r="D74" s="110" t="s">
        <v>51</v>
      </c>
      <c r="E74" s="131">
        <v>3.5</v>
      </c>
      <c r="F74" s="131">
        <v>10</v>
      </c>
      <c r="G74" s="48">
        <v>7200</v>
      </c>
      <c r="H74" s="5"/>
      <c r="I74" s="5">
        <v>8.5</v>
      </c>
      <c r="J74" s="68">
        <f>(Table5[[#This Row],[RPM]]/5400-1)</f>
        <v>0.33333333333333326</v>
      </c>
      <c r="K74" s="51">
        <v>237</v>
      </c>
      <c r="L74" s="7">
        <v>5</v>
      </c>
      <c r="M74" s="42">
        <v>600000</v>
      </c>
      <c r="N74" s="7">
        <v>550</v>
      </c>
      <c r="O74" s="138">
        <v>2500000</v>
      </c>
      <c r="P74" s="41">
        <f>10^16</f>
        <v>1E+16</v>
      </c>
      <c r="Q74" s="59"/>
      <c r="R74" s="5">
        <v>10</v>
      </c>
      <c r="S74" s="5">
        <v>7.3</v>
      </c>
      <c r="T74" s="140"/>
      <c r="U74" s="144">
        <f>(((Table5[[#This Row],[Watts Active]]*Power_On_Hours_Year/1000)*Active_Duty_Cycle)+((Table5[[#This Row],[Watts Idle]]*Power_On_Hours_Year/1000)*(100%-Active_Duty_Cycle)))*CostPerKWH</f>
        <v>8.5904448000000002</v>
      </c>
      <c r="V74" s="144">
        <f>Table5[Energy$year]/Table5[[#This Row],[SizTB]]</f>
        <v>0.85904448</v>
      </c>
      <c r="W74" s="157"/>
      <c r="X74" s="10">
        <f>Table5[[#This Row],[Cost]]/Table5[[#This Row],[SizTB]]</f>
        <v>0</v>
      </c>
      <c r="Y74" s="11">
        <f>Table5[[#This Row],[Cost]]+((CompareWarrYrs-Table5[[#This Row],[S]])*(Incremental_Warr_Yr*Table5[[#This Row],[Cost]]))</f>
        <v>0</v>
      </c>
      <c r="Z74" s="6">
        <f>Table5[[#This Row],[$+Warr]]/Table5[[#This Row],[SizTB]]</f>
        <v>0</v>
      </c>
      <c r="AA74" s="10">
        <f>Table5[[#This Row],[$PerTB]]/CompareWarrYrs</f>
        <v>0</v>
      </c>
      <c r="AB74" s="46" t="s">
        <v>122</v>
      </c>
    </row>
    <row r="75" spans="1:28">
      <c r="A75" s="136">
        <v>43044</v>
      </c>
      <c r="B75" t="s">
        <v>43</v>
      </c>
      <c r="C75" s="137" t="s">
        <v>120</v>
      </c>
      <c r="D75" s="110" t="s">
        <v>51</v>
      </c>
      <c r="E75" s="131">
        <v>2.5</v>
      </c>
      <c r="F75" s="131">
        <v>1.8</v>
      </c>
      <c r="G75" s="48">
        <v>10500</v>
      </c>
      <c r="H75" s="5">
        <v>2.86</v>
      </c>
      <c r="I75" s="5">
        <v>4</v>
      </c>
      <c r="J75" s="68">
        <f>(Table5[[#This Row],[RPM]]/5400-1)</f>
        <v>0.94444444444444442</v>
      </c>
      <c r="K75" s="51">
        <v>226</v>
      </c>
      <c r="L75" s="7">
        <v>5</v>
      </c>
      <c r="M75" s="138"/>
      <c r="N75" s="7"/>
      <c r="O75" s="138">
        <v>2000000</v>
      </c>
      <c r="P75" s="41">
        <f>10^17</f>
        <v>1E+17</v>
      </c>
      <c r="Q75" s="59"/>
      <c r="R75" s="5">
        <v>8.6999999999999993</v>
      </c>
      <c r="S75" s="5">
        <v>4</v>
      </c>
      <c r="T75" s="140"/>
      <c r="U75" s="144">
        <f>(((Table5[[#This Row],[Watts Active]]*Power_On_Hours_Year/1000)*Active_Duty_Cycle)+((Table5[[#This Row],[Watts Idle]]*Power_On_Hours_Year/1000)*(100%-Active_Duty_Cycle)))*CostPerKWH</f>
        <v>5.4128568000000001</v>
      </c>
      <c r="V75" s="144">
        <f>Table5[Energy$year]/Table5[[#This Row],[SizTB]]</f>
        <v>3.0071426666666667</v>
      </c>
      <c r="W75" s="157">
        <v>349</v>
      </c>
      <c r="X75" s="10">
        <f>Table5[[#This Row],[Cost]]/Table5[[#This Row],[SizTB]]</f>
        <v>193.88888888888889</v>
      </c>
      <c r="Y75" s="11">
        <f>Table5[[#This Row],[Cost]]+((CompareWarrYrs-Table5[[#This Row],[S]])*(Incremental_Warr_Yr*Table5[[#This Row],[Cost]]))</f>
        <v>349</v>
      </c>
      <c r="Z75" s="6">
        <f>Table5[[#This Row],[$+Warr]]/Table5[[#This Row],[SizTB]]</f>
        <v>193.88888888888889</v>
      </c>
      <c r="AA75" s="10">
        <f>Table5[[#This Row],[$PerTB]]/CompareWarrYrs</f>
        <v>38.777777777777779</v>
      </c>
      <c r="AB75" s="46"/>
    </row>
    <row r="76" spans="1:28">
      <c r="A76" s="136">
        <v>43044</v>
      </c>
      <c r="B76" t="s">
        <v>43</v>
      </c>
      <c r="C76" s="137" t="s">
        <v>120</v>
      </c>
      <c r="D76" s="110" t="s">
        <v>51</v>
      </c>
      <c r="E76" s="131">
        <v>2.5</v>
      </c>
      <c r="F76" s="131">
        <v>0.9</v>
      </c>
      <c r="G76" s="48">
        <v>15000</v>
      </c>
      <c r="H76" s="5">
        <v>2</v>
      </c>
      <c r="I76" s="5">
        <v>2.9</v>
      </c>
      <c r="J76" s="68">
        <f>(Table5[[#This Row],[RPM]]/5400-1)</f>
        <v>1.7777777777777777</v>
      </c>
      <c r="K76" s="51">
        <v>259</v>
      </c>
      <c r="L76" s="7">
        <v>5</v>
      </c>
      <c r="M76" s="138">
        <v>600000</v>
      </c>
      <c r="N76" s="7"/>
      <c r="O76" s="138">
        <v>2000000</v>
      </c>
      <c r="P76" s="41">
        <f>10^17</f>
        <v>1E+17</v>
      </c>
      <c r="Q76" s="59"/>
      <c r="R76" s="5">
        <v>9</v>
      </c>
      <c r="S76" s="5">
        <v>5.6</v>
      </c>
      <c r="T76" s="140"/>
      <c r="U76" s="144">
        <f>(((Table5[[#This Row],[Watts Active]]*Power_On_Hours_Year/1000)*Active_Duty_Cycle)+((Table5[[#This Row],[Watts Idle]]*Power_On_Hours_Year/1000)*(100%-Active_Duty_Cycle)))*CostPerKWH</f>
        <v>6.8811216000000002</v>
      </c>
      <c r="V76" s="144">
        <f>Table5[Energy$year]/Table5[[#This Row],[SizTB]]</f>
        <v>7.6456906666666669</v>
      </c>
      <c r="W76" s="157">
        <v>194.39</v>
      </c>
      <c r="X76" s="10">
        <f>Table5[[#This Row],[Cost]]/Table5[[#This Row],[SizTB]]</f>
        <v>215.98888888888888</v>
      </c>
      <c r="Y76" s="11">
        <f>Table5[[#This Row],[Cost]]+((CompareWarrYrs-Table5[[#This Row],[S]])*(Incremental_Warr_Yr*Table5[[#This Row],[Cost]]))</f>
        <v>194.39</v>
      </c>
      <c r="Z76" s="6">
        <f>Table5[[#This Row],[$+Warr]]/Table5[[#This Row],[SizTB]]</f>
        <v>215.98888888888888</v>
      </c>
      <c r="AA76" s="10">
        <f>Table5[[#This Row],[$PerTB]]/CompareWarrYrs</f>
        <v>43.197777777777773</v>
      </c>
      <c r="AB76" s="46"/>
    </row>
    <row r="77" spans="1:28">
      <c r="A77" s="1">
        <v>43046</v>
      </c>
      <c r="B77" t="s">
        <v>43</v>
      </c>
      <c r="C77" s="127" t="s">
        <v>44</v>
      </c>
      <c r="D77" s="33" t="s">
        <v>51</v>
      </c>
      <c r="E77" s="109">
        <v>3.5</v>
      </c>
      <c r="F77" s="95">
        <v>4</v>
      </c>
      <c r="G77" s="48">
        <v>7200</v>
      </c>
      <c r="H77" s="5">
        <v>4.17</v>
      </c>
      <c r="I77" s="5"/>
      <c r="J77" s="68">
        <f>(Table5[[#This Row],[RPM]]/5400-1)</f>
        <v>0.33333333333333326</v>
      </c>
      <c r="K77" s="51">
        <v>200</v>
      </c>
      <c r="L77">
        <v>3</v>
      </c>
      <c r="M77" s="42"/>
      <c r="N77">
        <v>180</v>
      </c>
      <c r="O77" s="42">
        <v>1000000</v>
      </c>
      <c r="P77" s="41">
        <f t="shared" ref="P77:P79" si="8">10^14</f>
        <v>100000000000000</v>
      </c>
      <c r="Q77" s="59"/>
      <c r="R77" s="5">
        <v>9.6</v>
      </c>
      <c r="S77" s="5">
        <v>5.2</v>
      </c>
      <c r="T77" s="140"/>
      <c r="U77" s="144">
        <f>(((Table5[[#This Row],[Watts Active]]*Power_On_Hours_Year/1000)*Active_Duty_Cycle)+((Table5[[#This Row],[Watts Idle]]*Power_On_Hours_Year/1000)*(100%-Active_Duty_Cycle)))*CostPerKWH</f>
        <v>6.6619776000000011</v>
      </c>
      <c r="V77" s="144">
        <f>Table5[Energy$year]/Table5[[#This Row],[SizTB]]</f>
        <v>1.6654944000000003</v>
      </c>
      <c r="W77" s="158">
        <v>139.99</v>
      </c>
      <c r="X77" s="10">
        <f>Table5[[#This Row],[Cost]]/Table5[[#This Row],[SizTB]]</f>
        <v>34.997500000000002</v>
      </c>
      <c r="Y77" s="11">
        <f>Table5[[#This Row],[Cost]]+((CompareWarrYrs-Table5[[#This Row],[S]])*(Incremental_Warr_Yr*Table5[[#This Row],[Cost]]))</f>
        <v>170.7878</v>
      </c>
      <c r="Z77" s="6">
        <f>Table5[[#This Row],[$+Warr]]/Table5[[#This Row],[SizTB]]</f>
        <v>42.696950000000001</v>
      </c>
      <c r="AA77" s="10">
        <f>Table5[[#This Row],[$PerTB]]/CompareWarrYrs</f>
        <v>8.5393900000000009</v>
      </c>
      <c r="AB77" s="46"/>
    </row>
    <row r="78" spans="1:28">
      <c r="A78" s="1">
        <v>43046</v>
      </c>
      <c r="B78" t="s">
        <v>43</v>
      </c>
      <c r="C78" s="127" t="s">
        <v>44</v>
      </c>
      <c r="D78" s="33" t="s">
        <v>51</v>
      </c>
      <c r="E78" s="109">
        <v>3.5</v>
      </c>
      <c r="F78" s="95">
        <v>6</v>
      </c>
      <c r="G78" s="48">
        <v>7200</v>
      </c>
      <c r="H78" s="5">
        <v>4.17</v>
      </c>
      <c r="I78" s="5"/>
      <c r="J78" s="68">
        <f>(Table5[[#This Row],[RPM]]/5400-1)</f>
        <v>0.33333333333333326</v>
      </c>
      <c r="K78" s="51">
        <v>210</v>
      </c>
      <c r="L78">
        <v>3</v>
      </c>
      <c r="M78" s="42"/>
      <c r="N78">
        <v>180</v>
      </c>
      <c r="O78" s="42">
        <v>1000000</v>
      </c>
      <c r="P78" s="41">
        <f t="shared" si="8"/>
        <v>100000000000000</v>
      </c>
      <c r="Q78" s="59"/>
      <c r="R78" s="5">
        <v>10.1</v>
      </c>
      <c r="S78" s="5">
        <v>6.7</v>
      </c>
      <c r="T78" s="140"/>
      <c r="U78" s="144">
        <f>(((Table5[[#This Row],[Watts Active]]*Power_On_Hours_Year/1000)*Active_Duty_Cycle)+((Table5[[#This Row],[Watts Idle]]*Power_On_Hours_Year/1000)*(100%-Active_Duty_Cycle)))*CostPerKWH</f>
        <v>8.0864136000000002</v>
      </c>
      <c r="V78" s="144">
        <f>Table5[Energy$year]/Table5[[#This Row],[SizTB]]</f>
        <v>1.3477356</v>
      </c>
      <c r="W78" s="158">
        <v>219.99</v>
      </c>
      <c r="X78" s="10">
        <f>Table5[[#This Row],[Cost]]/Table5[[#This Row],[SizTB]]</f>
        <v>36.664999999999999</v>
      </c>
      <c r="Y78" s="11">
        <f>Table5[[#This Row],[Cost]]+((CompareWarrYrs-Table5[[#This Row],[S]])*(Incremental_Warr_Yr*Table5[[#This Row],[Cost]]))</f>
        <v>268.38780000000003</v>
      </c>
      <c r="Z78" s="6">
        <f>Table5[[#This Row],[$+Warr]]/Table5[[#This Row],[SizTB]]</f>
        <v>44.731300000000005</v>
      </c>
      <c r="AA78" s="10">
        <f>Table5[[#This Row],[$PerTB]]/CompareWarrYrs</f>
        <v>8.9462600000000005</v>
      </c>
      <c r="AB78" s="46"/>
    </row>
    <row r="79" spans="1:28">
      <c r="A79" s="1">
        <v>43046</v>
      </c>
      <c r="B79" t="s">
        <v>43</v>
      </c>
      <c r="C79" s="127" t="s">
        <v>44</v>
      </c>
      <c r="D79" s="33" t="s">
        <v>51</v>
      </c>
      <c r="E79" s="109">
        <v>3.5</v>
      </c>
      <c r="F79" s="95">
        <v>8</v>
      </c>
      <c r="G79" s="48">
        <v>7200</v>
      </c>
      <c r="H79" s="5">
        <v>4.17</v>
      </c>
      <c r="I79" s="5"/>
      <c r="J79" s="68">
        <f>(Table5[[#This Row],[RPM]]/5400-1)</f>
        <v>0.33333333333333326</v>
      </c>
      <c r="K79" s="51">
        <v>240</v>
      </c>
      <c r="L79">
        <v>3</v>
      </c>
      <c r="M79" s="42"/>
      <c r="N79">
        <v>180</v>
      </c>
      <c r="O79" s="42">
        <v>1000000</v>
      </c>
      <c r="P79" s="41">
        <f t="shared" si="8"/>
        <v>100000000000000</v>
      </c>
      <c r="Q79" s="59"/>
      <c r="R79" s="5">
        <v>9.1999999999999993</v>
      </c>
      <c r="S79" s="5">
        <v>6.2</v>
      </c>
      <c r="T79" s="140"/>
      <c r="U79" s="144">
        <f>(((Table5[[#This Row],[Watts Active]]*Power_On_Hours_Year/1000)*Active_Duty_Cycle)+((Table5[[#This Row],[Watts Idle]]*Power_On_Hours_Year/1000)*(100%-Active_Duty_Cycle)))*CostPerKWH</f>
        <v>7.4508960000000002</v>
      </c>
      <c r="V79" s="144">
        <f>Table5[Energy$year]/Table5[[#This Row],[SizTB]]</f>
        <v>0.93136200000000002</v>
      </c>
      <c r="W79" s="158">
        <v>229.99</v>
      </c>
      <c r="X79" s="10">
        <f>Table5[[#This Row],[Cost]]/Table5[[#This Row],[SizTB]]</f>
        <v>28.748750000000001</v>
      </c>
      <c r="Y79" s="11">
        <f>Table5[[#This Row],[Cost]]+((CompareWarrYrs-Table5[[#This Row],[S]])*(Incremental_Warr_Yr*Table5[[#This Row],[Cost]]))</f>
        <v>280.58780000000002</v>
      </c>
      <c r="Z79" s="6">
        <f>Table5[[#This Row],[$+Warr]]/Table5[[#This Row],[SizTB]]</f>
        <v>35.073475000000002</v>
      </c>
      <c r="AA79" s="10">
        <f>Table5[[#This Row],[$PerTB]]/CompareWarrYrs</f>
        <v>7.0146950000000006</v>
      </c>
      <c r="AB79" s="46"/>
    </row>
    <row r="80" spans="1:28">
      <c r="A80" s="1">
        <v>43019</v>
      </c>
      <c r="B80" t="s">
        <v>43</v>
      </c>
      <c r="C80" s="127" t="s">
        <v>56</v>
      </c>
      <c r="D80" s="33"/>
      <c r="E80" s="109">
        <v>3.5</v>
      </c>
      <c r="F80" s="95">
        <v>1</v>
      </c>
      <c r="G80" s="48">
        <v>7200</v>
      </c>
      <c r="H80" s="5">
        <v>4.17</v>
      </c>
      <c r="I80" s="5"/>
      <c r="J80" s="68">
        <f>(Table5[[#This Row],[RPM]]/5400-1)</f>
        <v>0.33333333333333326</v>
      </c>
      <c r="K80" s="51"/>
      <c r="L80">
        <v>2</v>
      </c>
      <c r="M80" s="42"/>
      <c r="O80" s="42"/>
      <c r="P80" s="41"/>
      <c r="Q80" s="59"/>
      <c r="R80" s="5"/>
      <c r="S80" s="5"/>
      <c r="T80" s="140"/>
      <c r="U80" s="144"/>
      <c r="V80" s="152"/>
      <c r="W80" s="157">
        <v>49.99</v>
      </c>
      <c r="X80" s="10">
        <f>Table5[[#This Row],[Cost]]/Table5[[#This Row],[SizTB]]</f>
        <v>49.99</v>
      </c>
      <c r="Y80" s="11">
        <f>Table5[[#This Row],[Cost]]+((CompareWarrYrs-Table5[[#This Row],[S]])*(Incremental_Warr_Yr*Table5[[#This Row],[Cost]]))</f>
        <v>66.486699999999999</v>
      </c>
      <c r="Z80" s="6">
        <f>Table5[[#This Row],[$+Warr]]/Table5[[#This Row],[SizTB]]</f>
        <v>66.486699999999999</v>
      </c>
      <c r="AA80" s="10">
        <f>Table5[[#This Row],[$PerTB]]/CompareWarrYrs</f>
        <v>13.29734</v>
      </c>
      <c r="AB80" s="46"/>
    </row>
    <row r="81" spans="1:28">
      <c r="A81" s="1">
        <v>43015</v>
      </c>
      <c r="B81" t="s">
        <v>43</v>
      </c>
      <c r="C81" s="127" t="s">
        <v>56</v>
      </c>
      <c r="D81" s="33"/>
      <c r="E81" s="109">
        <v>3.5</v>
      </c>
      <c r="F81" s="95">
        <v>2</v>
      </c>
      <c r="G81" s="48">
        <v>7200</v>
      </c>
      <c r="H81" s="5">
        <v>4.17</v>
      </c>
      <c r="I81" s="5"/>
      <c r="J81" s="68">
        <f>(Table5[[#This Row],[RPM]]/5400-1)</f>
        <v>0.33333333333333326</v>
      </c>
      <c r="K81" s="51"/>
      <c r="L81">
        <v>2</v>
      </c>
      <c r="M81" s="42"/>
      <c r="O81" s="42"/>
      <c r="P81" s="41"/>
      <c r="Q81" s="59"/>
      <c r="R81" s="5"/>
      <c r="S81" s="5"/>
      <c r="T81" s="140"/>
      <c r="U81" s="144"/>
      <c r="V81" s="152"/>
      <c r="W81" s="157">
        <v>71.989999999999995</v>
      </c>
      <c r="X81" s="10">
        <f>Table5[[#This Row],[Cost]]/Table5[[#This Row],[SizTB]]</f>
        <v>35.994999999999997</v>
      </c>
      <c r="Y81" s="11">
        <f>Table5[[#This Row],[Cost]]+((CompareWarrYrs-Table5[[#This Row],[S]])*(Incremental_Warr_Yr*Table5[[#This Row],[Cost]]))</f>
        <v>95.74669999999999</v>
      </c>
      <c r="Z81" s="6">
        <f>Table5[[#This Row],[$+Warr]]/Table5[[#This Row],[SizTB]]</f>
        <v>47.873349999999995</v>
      </c>
      <c r="AA81" s="10">
        <f>Table5[[#This Row],[$PerTB]]/CompareWarrYrs</f>
        <v>9.5746699999999993</v>
      </c>
      <c r="AB81" s="46"/>
    </row>
    <row r="82" spans="1:28">
      <c r="A82" s="1">
        <v>43043</v>
      </c>
      <c r="B82" t="s">
        <v>43</v>
      </c>
      <c r="C82" s="127" t="s">
        <v>56</v>
      </c>
      <c r="D82" s="33"/>
      <c r="E82" s="109">
        <v>3.5</v>
      </c>
      <c r="F82" s="95">
        <v>3</v>
      </c>
      <c r="G82" s="48">
        <v>7200</v>
      </c>
      <c r="H82" s="5">
        <v>4.17</v>
      </c>
      <c r="I82" s="5"/>
      <c r="J82" s="68">
        <f>(Table5[[#This Row],[RPM]]/5400-1)</f>
        <v>0.33333333333333326</v>
      </c>
      <c r="K82" s="51"/>
      <c r="L82">
        <v>2</v>
      </c>
      <c r="M82" s="42"/>
      <c r="O82" s="42"/>
      <c r="P82" s="41"/>
      <c r="Q82" s="59"/>
      <c r="R82" s="5"/>
      <c r="S82" s="5"/>
      <c r="T82" s="140"/>
      <c r="U82" s="144"/>
      <c r="V82" s="152"/>
      <c r="W82" s="157">
        <v>69.989999999999995</v>
      </c>
      <c r="X82" s="10">
        <f>Table5[[#This Row],[Cost]]/Table5[[#This Row],[SizTB]]</f>
        <v>23.33</v>
      </c>
      <c r="Y82" s="11">
        <f>Table5[[#This Row],[Cost]]+((CompareWarrYrs-Table5[[#This Row],[S]])*(Incremental_Warr_Yr*Table5[[#This Row],[Cost]]))</f>
        <v>93.086699999999993</v>
      </c>
      <c r="Z82" s="6">
        <f>Table5[[#This Row],[$+Warr]]/Table5[[#This Row],[SizTB]]</f>
        <v>31.028899999999997</v>
      </c>
      <c r="AA82" s="10">
        <f>Table5[[#This Row],[$PerTB]]/CompareWarrYrs</f>
        <v>6.205779999999999</v>
      </c>
      <c r="AB82" s="46"/>
    </row>
    <row r="83" spans="1:28">
      <c r="A83" s="1">
        <v>43019</v>
      </c>
      <c r="B83" t="s">
        <v>43</v>
      </c>
      <c r="C83" s="127" t="s">
        <v>67</v>
      </c>
      <c r="D83" s="33"/>
      <c r="E83" s="109">
        <v>3.5</v>
      </c>
      <c r="F83" s="95">
        <v>4</v>
      </c>
      <c r="G83" s="48">
        <v>7200</v>
      </c>
      <c r="H83" s="5">
        <v>4.17</v>
      </c>
      <c r="I83" s="5"/>
      <c r="J83" s="68">
        <f>(Table5[[#This Row],[RPM]]/5400-1)</f>
        <v>0.33333333333333326</v>
      </c>
      <c r="K83" s="51"/>
      <c r="L83">
        <v>2</v>
      </c>
      <c r="M83" s="42"/>
      <c r="O83" s="42"/>
      <c r="P83" s="41"/>
      <c r="Q83" s="59"/>
      <c r="R83" s="5"/>
      <c r="S83" s="5"/>
      <c r="T83" s="140"/>
      <c r="U83" s="144"/>
      <c r="V83" s="152"/>
      <c r="W83" s="157">
        <v>129.99</v>
      </c>
      <c r="X83" s="10">
        <f>Table5[[#This Row],[Cost]]/Table5[[#This Row],[SizTB]]</f>
        <v>32.497500000000002</v>
      </c>
      <c r="Y83" s="11">
        <f>Table5[[#This Row],[Cost]]+((CompareWarrYrs-Table5[[#This Row],[S]])*(Incremental_Warr_Yr*Table5[[#This Row],[Cost]]))</f>
        <v>172.88670000000002</v>
      </c>
      <c r="Z83" s="6">
        <f>Table5[[#This Row],[$+Warr]]/Table5[[#This Row],[SizTB]]</f>
        <v>43.221675000000005</v>
      </c>
      <c r="AA83" s="10">
        <f>Table5[[#This Row],[$PerTB]]/CompareWarrYrs</f>
        <v>8.6443350000000017</v>
      </c>
      <c r="AB83" s="46"/>
    </row>
    <row r="84" spans="1:28">
      <c r="A84" s="1">
        <v>43019</v>
      </c>
      <c r="B84" t="s">
        <v>43</v>
      </c>
      <c r="C84" s="127" t="s">
        <v>67</v>
      </c>
      <c r="D84" s="33"/>
      <c r="E84" s="109">
        <v>3.5</v>
      </c>
      <c r="F84" s="95">
        <v>5</v>
      </c>
      <c r="G84" s="48">
        <v>7200</v>
      </c>
      <c r="H84" s="5">
        <v>4.17</v>
      </c>
      <c r="I84" s="5"/>
      <c r="J84" s="68">
        <f>(Table5[[#This Row],[RPM]]/5400-1)</f>
        <v>0.33333333333333326</v>
      </c>
      <c r="K84" s="51"/>
      <c r="L84">
        <v>2</v>
      </c>
      <c r="M84" s="42"/>
      <c r="O84" s="42"/>
      <c r="P84" s="41"/>
      <c r="Q84" s="59"/>
      <c r="R84" s="5"/>
      <c r="S84" s="5"/>
      <c r="T84" s="140"/>
      <c r="U84" s="144"/>
      <c r="V84" s="152"/>
      <c r="W84" s="157">
        <v>141.97</v>
      </c>
      <c r="X84" s="10">
        <f>Table5[[#This Row],[Cost]]/Table5[[#This Row],[SizTB]]</f>
        <v>28.393999999999998</v>
      </c>
      <c r="Y84" s="11">
        <f>Table5[[#This Row],[Cost]]+((CompareWarrYrs-Table5[[#This Row],[S]])*(Incremental_Warr_Yr*Table5[[#This Row],[Cost]]))</f>
        <v>188.8201</v>
      </c>
      <c r="Z84" s="6">
        <f>Table5[[#This Row],[$+Warr]]/Table5[[#This Row],[SizTB]]</f>
        <v>37.764020000000002</v>
      </c>
      <c r="AA84" s="10">
        <f>Table5[[#This Row],[$PerTB]]/CompareWarrYrs</f>
        <v>7.5528040000000001</v>
      </c>
      <c r="AB84" s="46"/>
    </row>
    <row r="85" spans="1:28">
      <c r="A85" s="1">
        <v>43037</v>
      </c>
      <c r="B85" t="s">
        <v>43</v>
      </c>
      <c r="C85" s="127" t="s">
        <v>67</v>
      </c>
      <c r="D85" s="33"/>
      <c r="E85" s="109">
        <v>3.5</v>
      </c>
      <c r="F85" s="95">
        <v>6</v>
      </c>
      <c r="G85" s="48">
        <v>7200</v>
      </c>
      <c r="H85" s="5">
        <v>4.17</v>
      </c>
      <c r="I85" s="5"/>
      <c r="J85" s="68">
        <f>(Table5[[#This Row],[RPM]]/5400-1)</f>
        <v>0.33333333333333326</v>
      </c>
      <c r="K85" s="51"/>
      <c r="L85">
        <v>2</v>
      </c>
      <c r="M85" s="42"/>
      <c r="O85" s="42"/>
      <c r="P85" s="41"/>
      <c r="Q85" s="59"/>
      <c r="R85" s="5"/>
      <c r="S85" s="5"/>
      <c r="T85" s="140"/>
      <c r="U85" s="144"/>
      <c r="V85" s="152"/>
      <c r="W85" s="157">
        <v>169.99</v>
      </c>
      <c r="X85" s="10">
        <f>Table5[[#This Row],[Cost]]/Table5[[#This Row],[SizTB]]</f>
        <v>28.331666666666667</v>
      </c>
      <c r="Y85" s="11">
        <f>Table5[[#This Row],[Cost]]+((CompareWarrYrs-Table5[[#This Row],[S]])*(Incremental_Warr_Yr*Table5[[#This Row],[Cost]]))</f>
        <v>226.08670000000001</v>
      </c>
      <c r="Z85" s="6">
        <f>Table5[[#This Row],[$+Warr]]/Table5[[#This Row],[SizTB]]</f>
        <v>37.681116666666668</v>
      </c>
      <c r="AA85" s="10">
        <f>Table5[[#This Row],[$PerTB]]/CompareWarrYrs</f>
        <v>7.5362233333333339</v>
      </c>
      <c r="AB85" s="46"/>
    </row>
    <row r="86" spans="1:28" ht="15.75" thickBot="1">
      <c r="A86" s="76">
        <v>43019</v>
      </c>
      <c r="B86" s="77" t="s">
        <v>43</v>
      </c>
      <c r="C86" s="126" t="s">
        <v>67</v>
      </c>
      <c r="D86" s="78"/>
      <c r="E86" s="96">
        <v>3.5</v>
      </c>
      <c r="F86" s="96">
        <v>8</v>
      </c>
      <c r="G86" s="79">
        <v>7200</v>
      </c>
      <c r="H86" s="80">
        <v>4.17</v>
      </c>
      <c r="I86" s="80"/>
      <c r="J86" s="81">
        <f>(Table5[[#This Row],[RPM]]/5400-1)</f>
        <v>0.33333333333333326</v>
      </c>
      <c r="K86" s="82"/>
      <c r="L86" s="77">
        <v>2</v>
      </c>
      <c r="M86" s="83"/>
      <c r="N86" s="77"/>
      <c r="O86" s="83"/>
      <c r="P86" s="84"/>
      <c r="Q86" s="85"/>
      <c r="R86" s="80"/>
      <c r="S86" s="80"/>
      <c r="T86" s="141"/>
      <c r="U86" s="146"/>
      <c r="V86" s="153"/>
      <c r="W86" s="159">
        <v>254.99</v>
      </c>
      <c r="X86" s="86">
        <f>Table5[[#This Row],[Cost]]/Table5[[#This Row],[SizTB]]</f>
        <v>31.873750000000001</v>
      </c>
      <c r="Y86" s="87">
        <f>Table5[[#This Row],[Cost]]+((CompareWarrYrs-Table5[[#This Row],[S]])*(Incremental_Warr_Yr*Table5[[#This Row],[Cost]]))</f>
        <v>339.13670000000002</v>
      </c>
      <c r="Z86" s="88">
        <f>Table5[[#This Row],[$+Warr]]/Table5[[#This Row],[SizTB]]</f>
        <v>42.392087500000002</v>
      </c>
      <c r="AA86" s="86">
        <f>Table5[[#This Row],[$PerTB]]/CompareWarrYrs</f>
        <v>8.4784175000000008</v>
      </c>
      <c r="AB86" s="89"/>
    </row>
    <row r="87" spans="1:28" ht="15.75" thickTop="1">
      <c r="A87" s="1">
        <v>43046</v>
      </c>
      <c r="B87" t="s">
        <v>6</v>
      </c>
      <c r="C87" s="127" t="s">
        <v>83</v>
      </c>
      <c r="D87" s="33" t="s">
        <v>51</v>
      </c>
      <c r="E87" s="109">
        <v>3.5</v>
      </c>
      <c r="F87" s="95">
        <v>6</v>
      </c>
      <c r="G87" s="48">
        <v>5760</v>
      </c>
      <c r="H87" s="5"/>
      <c r="I87" s="5"/>
      <c r="J87" s="68">
        <f>(Table5[[#This Row],[RPM]]/5400-1)</f>
        <v>6.6666666666666652E-2</v>
      </c>
      <c r="K87" s="51">
        <v>150</v>
      </c>
      <c r="L87">
        <v>3</v>
      </c>
      <c r="M87" s="42">
        <v>300000</v>
      </c>
      <c r="O87" s="42">
        <v>500000</v>
      </c>
      <c r="P87" s="41">
        <f t="shared" ref="P87:P92" si="9">10^14</f>
        <v>100000000000000</v>
      </c>
      <c r="Q87" s="59"/>
      <c r="R87" s="5">
        <v>6.5</v>
      </c>
      <c r="S87" s="5">
        <v>4.8</v>
      </c>
      <c r="T87" s="140"/>
      <c r="U87" s="144">
        <f>(((Table5[[#This Row],[Watts Active]]*Power_On_Hours_Year/1000)*Active_Duty_Cycle)+((Table5[[#This Row],[Watts Idle]]*Power_On_Hours_Year/1000)*(100%-Active_Duty_Cycle)))*CostPerKWH</f>
        <v>5.6320008000000001</v>
      </c>
      <c r="V87" s="144">
        <f>Table5[Energy$year]/Table5[[#This Row],[SizTB]]</f>
        <v>0.93866680000000002</v>
      </c>
      <c r="W87" s="158">
        <v>159.99</v>
      </c>
      <c r="X87" s="10">
        <f>Table5[[#This Row],[Cost]]/Table5[[#This Row],[SizTB]]</f>
        <v>26.665000000000003</v>
      </c>
      <c r="Y87" s="11">
        <f>Table5[[#This Row],[Cost]]+((CompareWarrYrs-Table5[[#This Row],[S]])*(Incremental_Warr_Yr*Table5[[#This Row],[Cost]]))</f>
        <v>195.18780000000001</v>
      </c>
      <c r="Z87" s="6">
        <f>Table5[[#This Row],[$+Warr]]/Table5[[#This Row],[SizTB]]</f>
        <v>32.531300000000002</v>
      </c>
      <c r="AA87" s="10">
        <f>Table5[[#This Row],[$PerTB]]/CompareWarrYrs</f>
        <v>6.5062600000000002</v>
      </c>
      <c r="AB87" s="46"/>
    </row>
    <row r="88" spans="1:28">
      <c r="A88" s="1">
        <v>43041</v>
      </c>
      <c r="B88" t="s">
        <v>6</v>
      </c>
      <c r="C88" s="127" t="s">
        <v>5</v>
      </c>
      <c r="D88" s="133"/>
      <c r="E88" s="109">
        <v>2.5</v>
      </c>
      <c r="F88" s="95">
        <v>1</v>
      </c>
      <c r="G88" s="48">
        <v>7200</v>
      </c>
      <c r="H88" s="5"/>
      <c r="I88" s="5"/>
      <c r="J88" s="68">
        <f>(Table5[[#This Row],[RPM]]/5400-1)</f>
        <v>0.33333333333333326</v>
      </c>
      <c r="K88" s="51"/>
      <c r="L88">
        <v>5</v>
      </c>
      <c r="M88" s="42">
        <v>600000</v>
      </c>
      <c r="O88" s="42"/>
      <c r="P88" s="41">
        <f t="shared" si="9"/>
        <v>100000000000000</v>
      </c>
      <c r="Q88" s="59">
        <f>1.1*5</f>
        <v>5.5</v>
      </c>
      <c r="R88" s="5">
        <v>1.8</v>
      </c>
      <c r="S88" s="5">
        <v>0.8</v>
      </c>
      <c r="T88" s="140">
        <v>0.2</v>
      </c>
      <c r="U88" s="144">
        <f>(((Table5[[#This Row],[Watts Active]]*Power_On_Hours_Year/1000)*Active_Duty_Cycle)+((Table5[[#This Row],[Watts Idle]]*Power_On_Hours_Year/1000)*(100%-Active_Duty_Cycle)))*CostPerKWH</f>
        <v>1.09572</v>
      </c>
      <c r="V88" s="144">
        <f>Table5[Energy$year]/Table5[[#This Row],[SizTB]]</f>
        <v>1.09572</v>
      </c>
      <c r="W88" s="157">
        <v>66.989999999999995</v>
      </c>
      <c r="X88" s="10">
        <f>Table5[[#This Row],[Cost]]/Table5[[#This Row],[SizTB]]</f>
        <v>66.989999999999995</v>
      </c>
      <c r="Y88" s="11">
        <f>Table5[[#This Row],[Cost]]+((CompareWarrYrs-Table5[[#This Row],[S]])*(Incremental_Warr_Yr*Table5[[#This Row],[Cost]]))</f>
        <v>66.989999999999995</v>
      </c>
      <c r="Z88" s="6">
        <f>Table5[[#This Row],[$+Warr]]/Table5[[#This Row],[SizTB]]</f>
        <v>66.989999999999995</v>
      </c>
      <c r="AA88" s="10">
        <f>Table5[[#This Row],[$PerTB]]/CompareWarrYrs</f>
        <v>13.398</v>
      </c>
      <c r="AB88" s="46"/>
    </row>
    <row r="89" spans="1:28">
      <c r="A89" s="1">
        <v>43053</v>
      </c>
      <c r="B89" t="s">
        <v>6</v>
      </c>
      <c r="C89" s="127" t="s">
        <v>5</v>
      </c>
      <c r="D89" s="33"/>
      <c r="E89" s="109">
        <v>3.5</v>
      </c>
      <c r="F89" s="95">
        <v>1</v>
      </c>
      <c r="G89" s="48">
        <v>7200</v>
      </c>
      <c r="H89" s="5"/>
      <c r="I89" s="5"/>
      <c r="J89" s="68">
        <f>(Table5[[#This Row],[RPM]]/5400-1)</f>
        <v>0.33333333333333326</v>
      </c>
      <c r="K89" s="51">
        <v>150</v>
      </c>
      <c r="L89">
        <v>5</v>
      </c>
      <c r="M89" s="42">
        <v>300000</v>
      </c>
      <c r="O89" s="42"/>
      <c r="P89" s="41">
        <f t="shared" si="9"/>
        <v>100000000000000</v>
      </c>
      <c r="Q89" s="59"/>
      <c r="R89" s="5">
        <v>6.8</v>
      </c>
      <c r="S89" s="5">
        <v>6.1</v>
      </c>
      <c r="T89" s="140">
        <v>0.8</v>
      </c>
      <c r="U89" s="144">
        <f>(((Table5[[#This Row],[Watts Active]]*Power_On_Hours_Year/1000)*Active_Duty_Cycle)+((Table5[[#This Row],[Watts Idle]]*Power_On_Hours_Year/1000)*(100%-Active_Duty_Cycle)))*CostPerKWH</f>
        <v>6.8372928000000002</v>
      </c>
      <c r="V89" s="144">
        <f>Table5[Energy$year]/Table5[[#This Row],[SizTB]]</f>
        <v>6.8372928000000002</v>
      </c>
      <c r="W89" s="158">
        <v>69.989999999999995</v>
      </c>
      <c r="X89" s="10">
        <f>Table5[[#This Row],[Cost]]/Table5[[#This Row],[SizTB]]</f>
        <v>69.989999999999995</v>
      </c>
      <c r="Y89" s="11">
        <f>Table5[[#This Row],[Cost]]+((CompareWarrYrs-Table5[[#This Row],[S]])*(Incremental_Warr_Yr*Table5[[#This Row],[Cost]]))</f>
        <v>69.989999999999995</v>
      </c>
      <c r="Z89" s="6">
        <f>Table5[[#This Row],[$+Warr]]/Table5[[#This Row],[SizTB]]</f>
        <v>69.989999999999995</v>
      </c>
      <c r="AA89" s="10">
        <f>Table5[[#This Row],[$PerTB]]/CompareWarrYrs</f>
        <v>13.997999999999999</v>
      </c>
      <c r="AB89" s="46"/>
    </row>
    <row r="90" spans="1:28">
      <c r="A90" s="1">
        <v>43053</v>
      </c>
      <c r="B90" t="s">
        <v>6</v>
      </c>
      <c r="C90" s="127" t="s">
        <v>5</v>
      </c>
      <c r="D90" s="33"/>
      <c r="E90" s="109">
        <v>3.5</v>
      </c>
      <c r="F90" s="95">
        <v>2</v>
      </c>
      <c r="G90" s="48">
        <v>7200</v>
      </c>
      <c r="H90" s="5"/>
      <c r="I90" s="5"/>
      <c r="J90" s="68">
        <f>(Table5[[#This Row],[RPM]]/5400-1)</f>
        <v>0.33333333333333326</v>
      </c>
      <c r="K90" s="51">
        <v>164</v>
      </c>
      <c r="L90">
        <v>5</v>
      </c>
      <c r="M90" s="42">
        <v>300000</v>
      </c>
      <c r="O90" s="42"/>
      <c r="P90" s="41">
        <f t="shared" si="9"/>
        <v>100000000000000</v>
      </c>
      <c r="Q90" s="59"/>
      <c r="R90" s="5">
        <v>9.5</v>
      </c>
      <c r="S90" s="5">
        <v>8.1</v>
      </c>
      <c r="T90" s="140">
        <v>1.3</v>
      </c>
      <c r="U90" s="144">
        <f>(((Table5[[#This Row],[Watts Active]]*Power_On_Hours_Year/1000)*Active_Duty_Cycle)+((Table5[[#This Row],[Watts Idle]]*Power_On_Hours_Year/1000)*(100%-Active_Duty_Cycle)))*CostPerKWH</f>
        <v>9.1821336000000002</v>
      </c>
      <c r="V90" s="144">
        <f>Table5[Energy$year]/Table5[[#This Row],[SizTB]]</f>
        <v>4.5910668000000001</v>
      </c>
      <c r="W90" s="158">
        <v>124.99</v>
      </c>
      <c r="X90" s="10">
        <f>Table5[[#This Row],[Cost]]/Table5[[#This Row],[SizTB]]</f>
        <v>62.494999999999997</v>
      </c>
      <c r="Y90" s="11">
        <f>Table5[[#This Row],[Cost]]+((CompareWarrYrs-Table5[[#This Row],[S]])*(Incremental_Warr_Yr*Table5[[#This Row],[Cost]]))</f>
        <v>124.99</v>
      </c>
      <c r="Z90" s="6">
        <f>Table5[[#This Row],[$+Warr]]/Table5[[#This Row],[SizTB]]</f>
        <v>62.494999999999997</v>
      </c>
      <c r="AA90" s="10">
        <f>Table5[[#This Row],[$PerTB]]/CompareWarrYrs</f>
        <v>12.498999999999999</v>
      </c>
      <c r="AB90" s="46"/>
    </row>
    <row r="91" spans="1:28">
      <c r="A91" s="1">
        <v>43053</v>
      </c>
      <c r="B91" t="s">
        <v>6</v>
      </c>
      <c r="C91" s="127" t="s">
        <v>5</v>
      </c>
      <c r="D91" s="33"/>
      <c r="E91" s="109">
        <v>3.5</v>
      </c>
      <c r="F91" s="95">
        <v>4</v>
      </c>
      <c r="G91" s="48">
        <v>7200</v>
      </c>
      <c r="H91" s="5"/>
      <c r="I91" s="5"/>
      <c r="J91" s="68">
        <f>(Table5[[#This Row],[RPM]]/5400-1)</f>
        <v>0.33333333333333326</v>
      </c>
      <c r="K91" s="51">
        <v>202</v>
      </c>
      <c r="L91">
        <v>5</v>
      </c>
      <c r="M91" s="42">
        <v>300000</v>
      </c>
      <c r="O91" s="42"/>
      <c r="P91" s="41">
        <f t="shared" si="9"/>
        <v>100000000000000</v>
      </c>
      <c r="Q91" s="59"/>
      <c r="R91" s="5">
        <v>9.1</v>
      </c>
      <c r="S91" s="5">
        <v>5.8</v>
      </c>
      <c r="T91" s="140">
        <v>1</v>
      </c>
      <c r="U91" s="144">
        <f>(((Table5[[#This Row],[Watts Active]]*Power_On_Hours_Year/1000)*Active_Duty_Cycle)+((Table5[[#This Row],[Watts Idle]]*Power_On_Hours_Year/1000)*(100%-Active_Duty_Cycle)))*CostPerKWH</f>
        <v>7.0783512000000002</v>
      </c>
      <c r="V91" s="144">
        <f>Table5[Energy$year]/Table5[[#This Row],[SizTB]]</f>
        <v>1.7695878</v>
      </c>
      <c r="W91" s="158">
        <v>184.99</v>
      </c>
      <c r="X91" s="10">
        <f>Table5[[#This Row],[Cost]]/Table5[[#This Row],[SizTB]]</f>
        <v>46.247500000000002</v>
      </c>
      <c r="Y91" s="11">
        <f>Table5[[#This Row],[Cost]]+((CompareWarrYrs-Table5[[#This Row],[S]])*(Incremental_Warr_Yr*Table5[[#This Row],[Cost]]))</f>
        <v>184.99</v>
      </c>
      <c r="Z91" s="6">
        <f>Table5[[#This Row],[$+Warr]]/Table5[[#This Row],[SizTB]]</f>
        <v>46.247500000000002</v>
      </c>
      <c r="AA91" s="10">
        <f>Table5[[#This Row],[$PerTB]]/CompareWarrYrs</f>
        <v>9.2495000000000012</v>
      </c>
      <c r="AB91" s="46"/>
    </row>
    <row r="92" spans="1:28">
      <c r="A92" s="1">
        <v>43053</v>
      </c>
      <c r="B92" t="s">
        <v>6</v>
      </c>
      <c r="C92" s="127" t="s">
        <v>5</v>
      </c>
      <c r="D92" s="33"/>
      <c r="E92" s="109">
        <v>3.5</v>
      </c>
      <c r="F92" s="95">
        <v>6</v>
      </c>
      <c r="G92" s="48">
        <v>7200</v>
      </c>
      <c r="H92" s="5"/>
      <c r="I92" s="5"/>
      <c r="J92" s="68">
        <f>(Table5[[#This Row],[RPM]]/5400-1)</f>
        <v>0.33333333333333326</v>
      </c>
      <c r="K92" s="51">
        <v>227</v>
      </c>
      <c r="L92">
        <v>5</v>
      </c>
      <c r="M92" s="42">
        <v>300000</v>
      </c>
      <c r="O92" s="42"/>
      <c r="P92" s="41">
        <f t="shared" si="9"/>
        <v>100000000000000</v>
      </c>
      <c r="Q92" s="59"/>
      <c r="R92" s="5">
        <v>9.1</v>
      </c>
      <c r="S92" s="5">
        <v>7.1</v>
      </c>
      <c r="T92" s="140">
        <v>1</v>
      </c>
      <c r="U92" s="144">
        <f>(((Table5[[#This Row],[Watts Active]]*Power_On_Hours_Year/1000)*Active_Duty_Cycle)+((Table5[[#This Row],[Watts Idle]]*Power_On_Hours_Year/1000)*(100%-Active_Duty_Cycle)))*CostPerKWH</f>
        <v>8.2179000000000002</v>
      </c>
      <c r="V92" s="144">
        <f>Table5[Energy$year]/Table5[[#This Row],[SizTB]]</f>
        <v>1.36965</v>
      </c>
      <c r="W92" s="158">
        <v>199.99</v>
      </c>
      <c r="X92" s="10">
        <f>Table5[[#This Row],[Cost]]/Table5[[#This Row],[SizTB]]</f>
        <v>33.331666666666671</v>
      </c>
      <c r="Y92" s="11">
        <f>Table5[[#This Row],[Cost]]+((CompareWarrYrs-Table5[[#This Row],[S]])*(Incremental_Warr_Yr*Table5[[#This Row],[Cost]]))</f>
        <v>199.99</v>
      </c>
      <c r="Z92" s="6">
        <f>Table5[[#This Row],[$+Warr]]/Table5[[#This Row],[SizTB]]</f>
        <v>33.331666666666671</v>
      </c>
      <c r="AA92" s="10">
        <f>Table5[[#This Row],[$PerTB]]/CompareWarrYrs</f>
        <v>6.6663333333333341</v>
      </c>
      <c r="AB92" s="46"/>
    </row>
    <row r="93" spans="1:28">
      <c r="A93" s="1">
        <v>43046</v>
      </c>
      <c r="B93" t="s">
        <v>6</v>
      </c>
      <c r="C93" s="127" t="s">
        <v>28</v>
      </c>
      <c r="D93" s="33"/>
      <c r="E93" s="109">
        <v>3.5</v>
      </c>
      <c r="F93" s="95">
        <v>1</v>
      </c>
      <c r="G93" s="48">
        <v>5400</v>
      </c>
      <c r="H93" s="5"/>
      <c r="I93" s="5"/>
      <c r="J93" s="68">
        <f>(Table5[[#This Row],[RPM]]/5400-1)</f>
        <v>0</v>
      </c>
      <c r="K93" s="51">
        <v>150</v>
      </c>
      <c r="L93">
        <v>2</v>
      </c>
      <c r="M93" s="42">
        <v>300000</v>
      </c>
      <c r="O93" s="42"/>
      <c r="P93" s="41">
        <f t="shared" ref="P93:P99" si="10">10^14</f>
        <v>100000000000000</v>
      </c>
      <c r="Q93" s="59"/>
      <c r="R93" s="5"/>
      <c r="S93" s="5"/>
      <c r="T93" s="140"/>
      <c r="U93" s="144"/>
      <c r="V93" s="144"/>
      <c r="W93" s="158">
        <v>44.99</v>
      </c>
      <c r="X93" s="10">
        <f>Table5[[#This Row],[Cost]]/Table5[[#This Row],[SizTB]]</f>
        <v>44.99</v>
      </c>
      <c r="Y93" s="11">
        <f>Table5[[#This Row],[Cost]]+((CompareWarrYrs-Table5[[#This Row],[S]])*(Incremental_Warr_Yr*Table5[[#This Row],[Cost]]))</f>
        <v>59.8367</v>
      </c>
      <c r="Z93" s="6">
        <f>Table5[[#This Row],[$+Warr]]/Table5[[#This Row],[SizTB]]</f>
        <v>59.8367</v>
      </c>
      <c r="AA93" s="10">
        <f>Table5[[#This Row],[$PerTB]]/CompareWarrYrs</f>
        <v>11.96734</v>
      </c>
      <c r="AB93" s="46"/>
    </row>
    <row r="94" spans="1:28">
      <c r="A94" s="1">
        <v>43043</v>
      </c>
      <c r="B94" t="s">
        <v>6</v>
      </c>
      <c r="C94" s="127" t="s">
        <v>28</v>
      </c>
      <c r="D94" s="33"/>
      <c r="E94" s="109">
        <v>3.5</v>
      </c>
      <c r="F94" s="95">
        <v>2</v>
      </c>
      <c r="G94" s="48">
        <v>5400</v>
      </c>
      <c r="H94" s="5"/>
      <c r="I94" s="5"/>
      <c r="J94" s="68">
        <f>(Table5[[#This Row],[RPM]]/5400-1)</f>
        <v>0</v>
      </c>
      <c r="K94" s="51">
        <v>147</v>
      </c>
      <c r="L94">
        <v>2</v>
      </c>
      <c r="M94" s="42">
        <v>300000</v>
      </c>
      <c r="O94" s="42"/>
      <c r="P94" s="41">
        <f t="shared" si="10"/>
        <v>100000000000000</v>
      </c>
      <c r="Q94" s="59">
        <f>12*1.73</f>
        <v>20.759999999999998</v>
      </c>
      <c r="R94" s="5">
        <v>4.0999999999999996</v>
      </c>
      <c r="S94" s="5">
        <v>3</v>
      </c>
      <c r="T94" s="140">
        <v>0.4</v>
      </c>
      <c r="U94" s="144">
        <f>(((Table5[[#This Row],[Watts Active]]*Power_On_Hours_Year/1000)*Active_Duty_Cycle)+((Table5[[#This Row],[Watts Idle]]*Power_On_Hours_Year/1000)*(100%-Active_Duty_Cycle)))*CostPerKWH</f>
        <v>3.5282184000000001</v>
      </c>
      <c r="V94" s="144">
        <f>Table5[Energy$year]/Table5[[#This Row],[SizTB]]</f>
        <v>1.7641092</v>
      </c>
      <c r="W94" s="157">
        <v>59.99</v>
      </c>
      <c r="X94" s="10">
        <f>Table5[[#This Row],[Cost]]/Table5[[#This Row],[SizTB]]</f>
        <v>29.995000000000001</v>
      </c>
      <c r="Y94" s="11">
        <f>Table5[[#This Row],[Cost]]+((CompareWarrYrs-Table5[[#This Row],[S]])*(Incremental_Warr_Yr*Table5[[#This Row],[Cost]]))</f>
        <v>79.786699999999996</v>
      </c>
      <c r="Z94" s="6">
        <f>Table5[[#This Row],[$+Warr]]/Table5[[#This Row],[SizTB]]</f>
        <v>39.893349999999998</v>
      </c>
      <c r="AA94" s="10">
        <f>Table5[[#This Row],[$PerTB]]/CompareWarrYrs</f>
        <v>7.9786699999999993</v>
      </c>
      <c r="AB94" s="46"/>
    </row>
    <row r="95" spans="1:28">
      <c r="A95" s="1">
        <v>43033</v>
      </c>
      <c r="B95" t="s">
        <v>6</v>
      </c>
      <c r="C95" s="127" t="s">
        <v>28</v>
      </c>
      <c r="D95" s="33"/>
      <c r="E95" s="109">
        <v>3.5</v>
      </c>
      <c r="F95" s="95">
        <v>3</v>
      </c>
      <c r="G95" s="48">
        <v>5400</v>
      </c>
      <c r="H95" s="5"/>
      <c r="I95" s="5"/>
      <c r="J95" s="68">
        <f>(Table5[[#This Row],[RPM]]/5400-1)</f>
        <v>0</v>
      </c>
      <c r="K95" s="51">
        <v>147</v>
      </c>
      <c r="L95">
        <v>2</v>
      </c>
      <c r="M95" s="42">
        <v>300000</v>
      </c>
      <c r="O95" s="42"/>
      <c r="P95" s="41">
        <f t="shared" si="10"/>
        <v>100000000000000</v>
      </c>
      <c r="Q95" s="59">
        <f>12*1.73</f>
        <v>20.759999999999998</v>
      </c>
      <c r="R95" s="5">
        <v>4.0999999999999996</v>
      </c>
      <c r="S95" s="5">
        <v>3</v>
      </c>
      <c r="T95" s="140">
        <v>0.4</v>
      </c>
      <c r="U95" s="144">
        <f>(((Table5[[#This Row],[Watts Active]]*Power_On_Hours_Year/1000)*Active_Duty_Cycle)+((Table5[[#This Row],[Watts Idle]]*Power_On_Hours_Year/1000)*(100%-Active_Duty_Cycle)))*CostPerKWH</f>
        <v>3.5282184000000001</v>
      </c>
      <c r="V95" s="144">
        <f>Table5[Energy$year]/Table5[[#This Row],[SizTB]]</f>
        <v>1.1760728</v>
      </c>
      <c r="W95" s="157">
        <v>79.989999999999995</v>
      </c>
      <c r="X95" s="10">
        <f>Table5[[#This Row],[Cost]]/Table5[[#This Row],[SizTB]]</f>
        <v>26.66333333333333</v>
      </c>
      <c r="Y95" s="11">
        <f>Table5[[#This Row],[Cost]]+((CompareWarrYrs-Table5[[#This Row],[S]])*(Incremental_Warr_Yr*Table5[[#This Row],[Cost]]))</f>
        <v>106.38669999999999</v>
      </c>
      <c r="Z95" s="6">
        <f>Table5[[#This Row],[$+Warr]]/Table5[[#This Row],[SizTB]]</f>
        <v>35.46223333333333</v>
      </c>
      <c r="AA95" s="10">
        <f>Table5[[#This Row],[$PerTB]]/CompareWarrYrs</f>
        <v>7.0924466666666657</v>
      </c>
      <c r="AB95" s="46"/>
    </row>
    <row r="96" spans="1:28">
      <c r="A96" s="1">
        <v>43053</v>
      </c>
      <c r="B96" t="s">
        <v>6</v>
      </c>
      <c r="C96" s="127" t="s">
        <v>28</v>
      </c>
      <c r="D96" s="33"/>
      <c r="E96" s="109">
        <v>3.5</v>
      </c>
      <c r="F96" s="95">
        <v>4</v>
      </c>
      <c r="G96" s="48">
        <v>5400</v>
      </c>
      <c r="H96" s="5"/>
      <c r="I96" s="5"/>
      <c r="J96" s="68">
        <f>(Table5[[#This Row],[RPM]]/5400-1)</f>
        <v>0</v>
      </c>
      <c r="K96" s="51">
        <v>150</v>
      </c>
      <c r="L96">
        <v>2</v>
      </c>
      <c r="M96" s="42">
        <v>300000</v>
      </c>
      <c r="O96" s="42"/>
      <c r="P96" s="41">
        <f t="shared" si="10"/>
        <v>100000000000000</v>
      </c>
      <c r="Q96" s="59">
        <f>12*1.75</f>
        <v>21</v>
      </c>
      <c r="R96" s="5">
        <v>5.3</v>
      </c>
      <c r="S96" s="5">
        <v>3.4</v>
      </c>
      <c r="T96" s="140">
        <v>0.4</v>
      </c>
      <c r="U96" s="144">
        <f>(((Table5[[#This Row],[Watts Active]]*Power_On_Hours_Year/1000)*Active_Duty_Cycle)+((Table5[[#This Row],[Watts Idle]]*Power_On_Hours_Year/1000)*(100%-Active_Duty_Cycle)))*CostPerKWH</f>
        <v>4.1418216000000001</v>
      </c>
      <c r="V96" s="144">
        <f>Table5[Energy$year]/Table5[[#This Row],[SizTB]]</f>
        <v>1.0354554</v>
      </c>
      <c r="W96" s="157">
        <v>99.99</v>
      </c>
      <c r="X96" s="10">
        <f>Table5[[#This Row],[Cost]]/Table5[[#This Row],[SizTB]]</f>
        <v>24.997499999999999</v>
      </c>
      <c r="Y96" s="11">
        <f>Table5[[#This Row],[Cost]]+((CompareWarrYrs-Table5[[#This Row],[S]])*(Incremental_Warr_Yr*Table5[[#This Row],[Cost]]))</f>
        <v>132.98669999999998</v>
      </c>
      <c r="Z96" s="6">
        <f>Table5[[#This Row],[$+Warr]]/Table5[[#This Row],[SizTB]]</f>
        <v>33.246674999999996</v>
      </c>
      <c r="AA96" s="10">
        <f>Table5[[#This Row],[$PerTB]]/CompareWarrYrs</f>
        <v>6.6493349999999989</v>
      </c>
      <c r="AB96" s="46"/>
    </row>
    <row r="97" spans="1:28">
      <c r="A97" s="1">
        <v>43019</v>
      </c>
      <c r="B97" t="s">
        <v>6</v>
      </c>
      <c r="C97" s="127" t="s">
        <v>28</v>
      </c>
      <c r="D97" s="33"/>
      <c r="E97" s="109">
        <v>3.5</v>
      </c>
      <c r="F97" s="95">
        <v>6</v>
      </c>
      <c r="G97" s="48">
        <v>5400</v>
      </c>
      <c r="H97" s="5"/>
      <c r="I97" s="5"/>
      <c r="J97" s="68">
        <f>(Table5[[#This Row],[RPM]]/5400-1)</f>
        <v>0</v>
      </c>
      <c r="K97" s="51">
        <v>175</v>
      </c>
      <c r="L97">
        <v>2</v>
      </c>
      <c r="M97" s="42">
        <v>300000</v>
      </c>
      <c r="O97" s="42"/>
      <c r="P97" s="41">
        <f t="shared" si="10"/>
        <v>100000000000000</v>
      </c>
      <c r="Q97" s="59">
        <f>12*1.75</f>
        <v>21</v>
      </c>
      <c r="R97" s="5">
        <v>5.3</v>
      </c>
      <c r="S97" s="5">
        <v>3.4</v>
      </c>
      <c r="T97" s="140">
        <v>0.4</v>
      </c>
      <c r="U97" s="144">
        <f>(((Table5[[#This Row],[Watts Active]]*Power_On_Hours_Year/1000)*Active_Duty_Cycle)+((Table5[[#This Row],[Watts Idle]]*Power_On_Hours_Year/1000)*(100%-Active_Duty_Cycle)))*CostPerKWH</f>
        <v>4.1418216000000001</v>
      </c>
      <c r="V97" s="144">
        <f>Table5[Energy$year]/Table5[[#This Row],[SizTB]]</f>
        <v>0.69030360000000002</v>
      </c>
      <c r="W97" s="157">
        <v>196.99</v>
      </c>
      <c r="X97" s="10">
        <f>Table5[[#This Row],[Cost]]/Table5[[#This Row],[SizTB]]</f>
        <v>32.831666666666671</v>
      </c>
      <c r="Y97" s="11">
        <f>Table5[[#This Row],[Cost]]+((CompareWarrYrs-Table5[[#This Row],[S]])*(Incremental_Warr_Yr*Table5[[#This Row],[Cost]]))</f>
        <v>261.99670000000003</v>
      </c>
      <c r="Z97" s="6">
        <f>Table5[[#This Row],[$+Warr]]/Table5[[#This Row],[SizTB]]</f>
        <v>43.666116666666674</v>
      </c>
      <c r="AA97" s="10">
        <f>Table5[[#This Row],[$PerTB]]/CompareWarrYrs</f>
        <v>8.7332233333333349</v>
      </c>
      <c r="AB97" s="46"/>
    </row>
    <row r="98" spans="1:28">
      <c r="A98" s="1">
        <v>43053</v>
      </c>
      <c r="B98" t="s">
        <v>6</v>
      </c>
      <c r="C98" s="127" t="s">
        <v>28</v>
      </c>
      <c r="D98" s="33"/>
      <c r="E98" s="109">
        <v>2.5</v>
      </c>
      <c r="F98" s="95">
        <v>1</v>
      </c>
      <c r="G98" s="48">
        <v>5400</v>
      </c>
      <c r="H98" s="5"/>
      <c r="I98" s="5"/>
      <c r="J98" s="68">
        <f>(Table5[[#This Row],[RPM]]/5400-1)</f>
        <v>0</v>
      </c>
      <c r="K98" s="51"/>
      <c r="L98">
        <v>2</v>
      </c>
      <c r="M98" s="42">
        <v>600000</v>
      </c>
      <c r="O98" s="42"/>
      <c r="P98" s="41">
        <f t="shared" si="10"/>
        <v>100000000000000</v>
      </c>
      <c r="Q98" s="59">
        <v>5</v>
      </c>
      <c r="R98" s="5">
        <v>1.5</v>
      </c>
      <c r="S98" s="5">
        <v>0.5</v>
      </c>
      <c r="T98" s="140">
        <v>0.1</v>
      </c>
      <c r="U98" s="144">
        <f>(((Table5[[#This Row],[Watts Active]]*Power_On_Hours_Year/1000)*Active_Duty_Cycle)+((Table5[[#This Row],[Watts Idle]]*Power_On_Hours_Year/1000)*(100%-Active_Duty_Cycle)))*CostPerKWH</f>
        <v>0.76700400000000002</v>
      </c>
      <c r="V98" s="144">
        <f>Table5[Energy$year]/Table5[[#This Row],[SizTB]]</f>
        <v>0.76700400000000002</v>
      </c>
      <c r="W98" s="158">
        <v>55.99</v>
      </c>
      <c r="X98" s="10">
        <f>Table5[[#This Row],[Cost]]/Table5[[#This Row],[SizTB]]</f>
        <v>55.99</v>
      </c>
      <c r="Y98" s="11">
        <f>Table5[[#This Row],[Cost]]+((CompareWarrYrs-Table5[[#This Row],[S]])*(Incremental_Warr_Yr*Table5[[#This Row],[Cost]]))</f>
        <v>74.466700000000003</v>
      </c>
      <c r="Z98" s="6">
        <f>Table5[[#This Row],[$+Warr]]/Table5[[#This Row],[SizTB]]</f>
        <v>74.466700000000003</v>
      </c>
      <c r="AA98" s="10">
        <f>Table5[[#This Row],[$PerTB]]/CompareWarrYrs</f>
        <v>14.89334</v>
      </c>
      <c r="AB98" s="46"/>
    </row>
    <row r="99" spans="1:28">
      <c r="A99" s="1">
        <v>43053</v>
      </c>
      <c r="B99" t="s">
        <v>6</v>
      </c>
      <c r="C99" s="127" t="s">
        <v>28</v>
      </c>
      <c r="D99" s="33"/>
      <c r="E99" s="109">
        <v>2.5</v>
      </c>
      <c r="F99" s="95">
        <v>2</v>
      </c>
      <c r="G99" s="48">
        <v>5400</v>
      </c>
      <c r="H99" s="5"/>
      <c r="I99" s="5"/>
      <c r="J99" s="68">
        <f>(Table5[[#This Row],[RPM]]/5400-1)</f>
        <v>0</v>
      </c>
      <c r="K99" s="51"/>
      <c r="L99">
        <v>2</v>
      </c>
      <c r="M99" s="42">
        <v>600000</v>
      </c>
      <c r="O99" s="42"/>
      <c r="P99" s="41">
        <f t="shared" si="10"/>
        <v>100000000000000</v>
      </c>
      <c r="Q99" s="59">
        <v>5</v>
      </c>
      <c r="R99" s="5">
        <v>1.7</v>
      </c>
      <c r="S99" s="5">
        <v>0.8</v>
      </c>
      <c r="T99" s="140">
        <v>0.2</v>
      </c>
      <c r="U99" s="144">
        <f>(((Table5[[#This Row],[Watts Active]]*Power_On_Hours_Year/1000)*Active_Duty_Cycle)+((Table5[[#This Row],[Watts Idle]]*Power_On_Hours_Year/1000)*(100%-Active_Duty_Cycle)))*CostPerKWH</f>
        <v>1.0738056</v>
      </c>
      <c r="V99" s="144">
        <f>Table5[Energy$year]/Table5[[#This Row],[SizTB]]</f>
        <v>0.53690280000000001</v>
      </c>
      <c r="W99" s="158">
        <v>141.82</v>
      </c>
      <c r="X99" s="10">
        <f>Table5[[#This Row],[Cost]]/Table5[[#This Row],[SizTB]]</f>
        <v>70.91</v>
      </c>
      <c r="Y99" s="11">
        <f>Table5[[#This Row],[Cost]]+((CompareWarrYrs-Table5[[#This Row],[S]])*(Incremental_Warr_Yr*Table5[[#This Row],[Cost]]))</f>
        <v>188.6206</v>
      </c>
      <c r="Z99" s="6">
        <f>Table5[[#This Row],[$+Warr]]/Table5[[#This Row],[SizTB]]</f>
        <v>94.310299999999998</v>
      </c>
      <c r="AA99" s="10">
        <f>Table5[[#This Row],[$PerTB]]/CompareWarrYrs</f>
        <v>18.86206</v>
      </c>
      <c r="AB99" s="46"/>
    </row>
    <row r="100" spans="1:28">
      <c r="A100" s="1">
        <v>43027</v>
      </c>
      <c r="B100" t="s">
        <v>6</v>
      </c>
      <c r="C100" s="127" t="s">
        <v>59</v>
      </c>
      <c r="D100" s="33" t="s">
        <v>51</v>
      </c>
      <c r="E100" s="109">
        <v>3.5</v>
      </c>
      <c r="F100" s="95">
        <v>1</v>
      </c>
      <c r="G100" s="48">
        <v>7200</v>
      </c>
      <c r="H100" s="5"/>
      <c r="I100" s="5"/>
      <c r="J100" s="68">
        <f>(Table5[[#This Row],[RPM]]/5400-1)</f>
        <v>0.33333333333333326</v>
      </c>
      <c r="K100" s="51">
        <v>184</v>
      </c>
      <c r="L100">
        <v>5</v>
      </c>
      <c r="M100" s="42">
        <v>600000</v>
      </c>
      <c r="N100">
        <v>550</v>
      </c>
      <c r="O100" s="42">
        <v>2000000</v>
      </c>
      <c r="P100" s="41">
        <v>1000000000000000</v>
      </c>
      <c r="Q100" s="59"/>
      <c r="R100" s="5">
        <v>8.1</v>
      </c>
      <c r="S100" s="5">
        <v>5.9</v>
      </c>
      <c r="T100" s="140"/>
      <c r="U100" s="144">
        <f>(((Table5[[#This Row],[Watts Active]]*Power_On_Hours_Year/1000)*Active_Duty_Cycle)+((Table5[[#This Row],[Watts Idle]]*Power_On_Hours_Year/1000)*(100%-Active_Duty_Cycle)))*CostPerKWH</f>
        <v>6.9468648000000002</v>
      </c>
      <c r="V100" s="144">
        <f>Table5[Energy$year]/Table5[[#This Row],[SizTB]]</f>
        <v>6.9468648000000002</v>
      </c>
      <c r="W100" s="157">
        <v>74.989999999999995</v>
      </c>
      <c r="X100" s="10">
        <f>Table5[[#This Row],[Cost]]/Table5[[#This Row],[SizTB]]</f>
        <v>74.989999999999995</v>
      </c>
      <c r="Y100" s="11">
        <f>Table5[[#This Row],[Cost]]+((CompareWarrYrs-Table5[[#This Row],[S]])*(Incremental_Warr_Yr*Table5[[#This Row],[Cost]]))</f>
        <v>74.989999999999995</v>
      </c>
      <c r="Z100" s="6">
        <f>Table5[[#This Row],[$+Warr]]/Table5[[#This Row],[SizTB]]</f>
        <v>74.989999999999995</v>
      </c>
      <c r="AA100" s="10">
        <f>Table5[[#This Row],[$PerTB]]/CompareWarrYrs</f>
        <v>14.997999999999999</v>
      </c>
      <c r="AB100" s="46"/>
    </row>
    <row r="101" spans="1:28">
      <c r="A101" s="1">
        <v>43037</v>
      </c>
      <c r="B101" t="s">
        <v>6</v>
      </c>
      <c r="C101" s="127" t="s">
        <v>59</v>
      </c>
      <c r="D101" s="33" t="s">
        <v>51</v>
      </c>
      <c r="E101" s="109">
        <v>3.5</v>
      </c>
      <c r="F101" s="95">
        <v>2</v>
      </c>
      <c r="G101" s="48">
        <v>7200</v>
      </c>
      <c r="H101" s="5"/>
      <c r="I101" s="5"/>
      <c r="J101" s="68">
        <f>(Table5[[#This Row],[RPM]]/5400-1)</f>
        <v>0.33333333333333326</v>
      </c>
      <c r="K101" s="51">
        <v>200</v>
      </c>
      <c r="L101">
        <v>5</v>
      </c>
      <c r="M101" s="42">
        <v>600000</v>
      </c>
      <c r="N101">
        <v>550</v>
      </c>
      <c r="O101" s="42">
        <v>2000000</v>
      </c>
      <c r="P101" s="41">
        <v>1000000000000000</v>
      </c>
      <c r="Q101" s="59"/>
      <c r="R101" s="5">
        <v>8.1</v>
      </c>
      <c r="S101" s="5">
        <v>5.9</v>
      </c>
      <c r="T101" s="140"/>
      <c r="U101" s="144">
        <f>(((Table5[[#This Row],[Watts Active]]*Power_On_Hours_Year/1000)*Active_Duty_Cycle)+((Table5[[#This Row],[Watts Idle]]*Power_On_Hours_Year/1000)*(100%-Active_Duty_Cycle)))*CostPerKWH</f>
        <v>6.9468648000000002</v>
      </c>
      <c r="V101" s="144">
        <f>Table5[Energy$year]/Table5[[#This Row],[SizTB]]</f>
        <v>3.4734324000000001</v>
      </c>
      <c r="W101" s="157">
        <v>119.99</v>
      </c>
      <c r="X101" s="10">
        <f>Table5[[#This Row],[Cost]]/Table5[[#This Row],[SizTB]]</f>
        <v>59.994999999999997</v>
      </c>
      <c r="Y101" s="11">
        <f>Table5[[#This Row],[Cost]]+((CompareWarrYrs-Table5[[#This Row],[S]])*(Incremental_Warr_Yr*Table5[[#This Row],[Cost]]))</f>
        <v>119.99</v>
      </c>
      <c r="Z101" s="6">
        <f>Table5[[#This Row],[$+Warr]]/Table5[[#This Row],[SizTB]]</f>
        <v>59.994999999999997</v>
      </c>
      <c r="AA101" s="10">
        <f>Table5[[#This Row],[$PerTB]]/CompareWarrYrs</f>
        <v>11.998999999999999</v>
      </c>
      <c r="AB101" s="46"/>
    </row>
    <row r="102" spans="1:28">
      <c r="A102" s="1">
        <v>43019</v>
      </c>
      <c r="B102" t="s">
        <v>6</v>
      </c>
      <c r="C102" s="127" t="s">
        <v>59</v>
      </c>
      <c r="D102" s="33" t="s">
        <v>51</v>
      </c>
      <c r="E102" s="109">
        <v>3.5</v>
      </c>
      <c r="F102" s="95">
        <v>4</v>
      </c>
      <c r="G102" s="48">
        <v>7200</v>
      </c>
      <c r="H102" s="5"/>
      <c r="I102" s="5"/>
      <c r="J102" s="68">
        <f>(Table5[[#This Row],[RPM]]/5400-1)</f>
        <v>0.33333333333333326</v>
      </c>
      <c r="K102" s="51">
        <v>201</v>
      </c>
      <c r="L102">
        <v>5</v>
      </c>
      <c r="M102" s="42">
        <v>600000</v>
      </c>
      <c r="N102">
        <v>550</v>
      </c>
      <c r="O102" s="42">
        <v>2000000</v>
      </c>
      <c r="P102" s="41">
        <v>1000000000000000</v>
      </c>
      <c r="Q102" s="59"/>
      <c r="R102" s="5">
        <v>9</v>
      </c>
      <c r="S102" s="5">
        <v>7</v>
      </c>
      <c r="T102" s="140"/>
      <c r="U102" s="144">
        <f>(((Table5[[#This Row],[Watts Active]]*Power_On_Hours_Year/1000)*Active_Duty_Cycle)+((Table5[[#This Row],[Watts Idle]]*Power_On_Hours_Year/1000)*(100%-Active_Duty_Cycle)))*CostPerKWH</f>
        <v>8.1083280000000002</v>
      </c>
      <c r="V102" s="144">
        <f>Table5[Energy$year]/Table5[[#This Row],[SizTB]]</f>
        <v>2.0270820000000001</v>
      </c>
      <c r="W102" s="157">
        <v>164</v>
      </c>
      <c r="X102" s="10">
        <f>Table5[[#This Row],[Cost]]/Table5[[#This Row],[SizTB]]</f>
        <v>41</v>
      </c>
      <c r="Y102" s="11">
        <f>Table5[[#This Row],[Cost]]+((CompareWarrYrs-Table5[[#This Row],[S]])*(Incremental_Warr_Yr*Table5[[#This Row],[Cost]]))</f>
        <v>164</v>
      </c>
      <c r="Z102" s="6">
        <f>Table5[[#This Row],[$+Warr]]/Table5[[#This Row],[SizTB]]</f>
        <v>41</v>
      </c>
      <c r="AA102" s="10">
        <f>Table5[[#This Row],[$PerTB]]/CompareWarrYrs</f>
        <v>8.1999999999999993</v>
      </c>
      <c r="AB102" s="134"/>
    </row>
    <row r="103" spans="1:28">
      <c r="A103" s="1">
        <v>43019</v>
      </c>
      <c r="B103" t="s">
        <v>6</v>
      </c>
      <c r="C103" s="127" t="s">
        <v>59</v>
      </c>
      <c r="D103" s="33" t="s">
        <v>51</v>
      </c>
      <c r="E103" s="109">
        <v>3.5</v>
      </c>
      <c r="F103" s="95">
        <v>6</v>
      </c>
      <c r="G103" s="48">
        <v>7200</v>
      </c>
      <c r="H103" s="5"/>
      <c r="I103" s="5"/>
      <c r="J103" s="68">
        <f>(Table5[[#This Row],[RPM]]/5400-1)</f>
        <v>0.33333333333333326</v>
      </c>
      <c r="K103" s="51">
        <v>226</v>
      </c>
      <c r="L103">
        <v>5</v>
      </c>
      <c r="M103" s="42">
        <v>600000</v>
      </c>
      <c r="N103">
        <v>550</v>
      </c>
      <c r="O103" s="42">
        <v>2000000</v>
      </c>
      <c r="P103" s="41">
        <v>1000000000000000</v>
      </c>
      <c r="Q103" s="59"/>
      <c r="R103" s="5">
        <v>9.3000000000000007</v>
      </c>
      <c r="S103" s="5">
        <v>7.1</v>
      </c>
      <c r="T103" s="140"/>
      <c r="U103" s="144">
        <f>(((Table5[[#This Row],[Watts Active]]*Power_On_Hours_Year/1000)*Active_Duty_Cycle)+((Table5[[#This Row],[Watts Idle]]*Power_On_Hours_Year/1000)*(100%-Active_Duty_Cycle)))*CostPerKWH</f>
        <v>8.2617288000000002</v>
      </c>
      <c r="V103" s="144">
        <f>Table5[Energy$year]/Table5[[#This Row],[SizTB]]</f>
        <v>1.3769548</v>
      </c>
      <c r="W103" s="157">
        <v>234.99</v>
      </c>
      <c r="X103" s="10">
        <f>Table5[[#This Row],[Cost]]/Table5[[#This Row],[SizTB]]</f>
        <v>39.164999999999999</v>
      </c>
      <c r="Y103" s="11">
        <f>Table5[[#This Row],[Cost]]+((CompareWarrYrs-Table5[[#This Row],[S]])*(Incremental_Warr_Yr*Table5[[#This Row],[Cost]]))</f>
        <v>234.99</v>
      </c>
      <c r="Z103" s="6">
        <f>Table5[[#This Row],[$+Warr]]/Table5[[#This Row],[SizTB]]</f>
        <v>39.164999999999999</v>
      </c>
      <c r="AA103" s="10">
        <f>Table5[[#This Row],[$PerTB]]/CompareWarrYrs</f>
        <v>7.8330000000000002</v>
      </c>
      <c r="AB103" s="134" t="s">
        <v>127</v>
      </c>
    </row>
    <row r="104" spans="1:28">
      <c r="A104" s="1">
        <v>43040</v>
      </c>
      <c r="B104" t="s">
        <v>6</v>
      </c>
      <c r="C104" s="127" t="s">
        <v>59</v>
      </c>
      <c r="D104" s="33" t="s">
        <v>51</v>
      </c>
      <c r="E104" s="109">
        <v>3.5</v>
      </c>
      <c r="F104" s="95">
        <v>8</v>
      </c>
      <c r="G104" s="48">
        <v>7200</v>
      </c>
      <c r="H104" s="5"/>
      <c r="I104" s="5"/>
      <c r="J104" s="68">
        <f>(Table5[[#This Row],[RPM]]/5400-1)</f>
        <v>0.33333333333333326</v>
      </c>
      <c r="K104" s="51">
        <v>205</v>
      </c>
      <c r="L104">
        <v>5</v>
      </c>
      <c r="M104" s="42">
        <v>600000</v>
      </c>
      <c r="N104">
        <v>550</v>
      </c>
      <c r="O104" s="42">
        <v>2500000</v>
      </c>
      <c r="P104" s="41">
        <v>1000000000000000</v>
      </c>
      <c r="Q104" s="59"/>
      <c r="R104" s="5">
        <v>7.2</v>
      </c>
      <c r="S104" s="5">
        <v>5.0999999999999996</v>
      </c>
      <c r="T104" s="140"/>
      <c r="U104" s="144">
        <f>(((Table5[[#This Row],[Watts Active]]*Power_On_Hours_Year/1000)*Active_Duty_Cycle)+((Table5[[#This Row],[Watts Idle]]*Power_On_Hours_Year/1000)*(100%-Active_Duty_Cycle)))*CostPerKWH</f>
        <v>6.0483743999999993</v>
      </c>
      <c r="V104" s="144">
        <f>Table5[Energy$year]/Table5[[#This Row],[SizTB]]</f>
        <v>0.75604679999999991</v>
      </c>
      <c r="W104" s="157">
        <v>339.99</v>
      </c>
      <c r="X104" s="10">
        <f>Table5[[#This Row],[Cost]]/Table5[[#This Row],[SizTB]]</f>
        <v>42.498750000000001</v>
      </c>
      <c r="Y104" s="11">
        <f>Table5[[#This Row],[Cost]]+((CompareWarrYrs-Table5[[#This Row],[S]])*(Incremental_Warr_Yr*Table5[[#This Row],[Cost]]))</f>
        <v>339.99</v>
      </c>
      <c r="Z104" s="6">
        <f>Table5[[#This Row],[$+Warr]]/Table5[[#This Row],[SizTB]]</f>
        <v>42.498750000000001</v>
      </c>
      <c r="AA104" s="10">
        <f>Table5[[#This Row],[$PerTB]]/CompareWarrYrs</f>
        <v>8.4997500000000006</v>
      </c>
      <c r="AB104" s="134" t="s">
        <v>39</v>
      </c>
    </row>
    <row r="105" spans="1:28">
      <c r="A105" s="1">
        <v>43040</v>
      </c>
      <c r="B105" t="s">
        <v>6</v>
      </c>
      <c r="C105" s="127" t="s">
        <v>59</v>
      </c>
      <c r="D105" s="33" t="s">
        <v>51</v>
      </c>
      <c r="E105" s="109">
        <v>3.5</v>
      </c>
      <c r="F105" s="95">
        <v>10</v>
      </c>
      <c r="G105" s="48">
        <v>7200</v>
      </c>
      <c r="H105" s="5"/>
      <c r="I105" s="5"/>
      <c r="J105" s="68">
        <f>(Table5[[#This Row],[RPM]]/5400-1)</f>
        <v>0.33333333333333326</v>
      </c>
      <c r="K105" s="51">
        <v>249</v>
      </c>
      <c r="L105">
        <v>5</v>
      </c>
      <c r="M105" s="42">
        <v>600000</v>
      </c>
      <c r="N105">
        <v>550</v>
      </c>
      <c r="O105" s="42">
        <v>2500000</v>
      </c>
      <c r="P105" s="41">
        <v>1000000000000000</v>
      </c>
      <c r="Q105" s="59"/>
      <c r="R105" s="5">
        <v>7.1</v>
      </c>
      <c r="S105" s="5">
        <v>5</v>
      </c>
      <c r="T105" s="140"/>
      <c r="U105" s="144">
        <f>(((Table5[[#This Row],[Watts Active]]*Power_On_Hours_Year/1000)*Active_Duty_Cycle)+((Table5[[#This Row],[Watts Idle]]*Power_On_Hours_Year/1000)*(100%-Active_Duty_Cycle)))*CostPerKWH</f>
        <v>5.9388024000000001</v>
      </c>
      <c r="V105" s="144">
        <f>Table5[Energy$year]/Table5[[#This Row],[SizTB]]</f>
        <v>0.59388024000000006</v>
      </c>
      <c r="W105" s="157">
        <v>409.99</v>
      </c>
      <c r="X105" s="10">
        <f>Table5[[#This Row],[Cost]]/Table5[[#This Row],[SizTB]]</f>
        <v>40.999000000000002</v>
      </c>
      <c r="Y105" s="11">
        <f>Table5[[#This Row],[Cost]]+((CompareWarrYrs-Table5[[#This Row],[S]])*(Incremental_Warr_Yr*Table5[[#This Row],[Cost]]))</f>
        <v>409.99</v>
      </c>
      <c r="Z105" s="6">
        <f>Table5[[#This Row],[$+Warr]]/Table5[[#This Row],[SizTB]]</f>
        <v>40.999000000000002</v>
      </c>
      <c r="AA105" s="10">
        <f>Table5[[#This Row],[$PerTB]]/CompareWarrYrs</f>
        <v>8.1997999999999998</v>
      </c>
      <c r="AB105" s="134" t="s">
        <v>39</v>
      </c>
    </row>
    <row r="106" spans="1:28">
      <c r="A106" s="1">
        <v>43019</v>
      </c>
      <c r="B106" t="s">
        <v>6</v>
      </c>
      <c r="C106" s="127" t="s">
        <v>59</v>
      </c>
      <c r="D106" s="33" t="s">
        <v>51</v>
      </c>
      <c r="E106" s="109">
        <v>3.5</v>
      </c>
      <c r="F106" s="95">
        <v>12</v>
      </c>
      <c r="G106" s="48">
        <v>7200</v>
      </c>
      <c r="H106" s="5">
        <v>4.16</v>
      </c>
      <c r="I106" s="5"/>
      <c r="J106" s="68">
        <f>(Table5[[#This Row],[RPM]]/5400-1)</f>
        <v>0.33333333333333326</v>
      </c>
      <c r="K106" s="51">
        <v>255</v>
      </c>
      <c r="L106">
        <v>5</v>
      </c>
      <c r="M106" s="42">
        <v>600000</v>
      </c>
      <c r="N106">
        <v>550</v>
      </c>
      <c r="O106" s="42">
        <v>2500000</v>
      </c>
      <c r="P106" s="41">
        <v>1000000000000000</v>
      </c>
      <c r="Q106" s="59"/>
      <c r="R106" s="5">
        <v>7</v>
      </c>
      <c r="S106" s="5">
        <v>5</v>
      </c>
      <c r="T106" s="140"/>
      <c r="U106" s="144">
        <f>(((Table5[[#This Row],[Watts Active]]*Power_On_Hours_Year/1000)*Active_Duty_Cycle)+((Table5[[#This Row],[Watts Idle]]*Power_On_Hours_Year/1000)*(100%-Active_Duty_Cycle)))*CostPerKWH</f>
        <v>5.9168880000000001</v>
      </c>
      <c r="V106" s="144">
        <f>Table5[Energy$year]/Table5[[#This Row],[SizTB]]</f>
        <v>0.49307400000000001</v>
      </c>
      <c r="W106" s="157">
        <v>539.99</v>
      </c>
      <c r="X106" s="10">
        <f>Table5[[#This Row],[Cost]]/Table5[[#This Row],[SizTB]]</f>
        <v>44.999166666666667</v>
      </c>
      <c r="Y106" s="11">
        <f>Table5[[#This Row],[Cost]]+((CompareWarrYrs-Table5[[#This Row],[S]])*(Incremental_Warr_Yr*Table5[[#This Row],[Cost]]))</f>
        <v>539.99</v>
      </c>
      <c r="Z106" s="6">
        <f>Table5[[#This Row],[$+Warr]]/Table5[[#This Row],[SizTB]]</f>
        <v>44.999166666666667</v>
      </c>
      <c r="AA106" s="10">
        <f>Table5[[#This Row],[$PerTB]]/CompareWarrYrs</f>
        <v>8.9998333333333331</v>
      </c>
      <c r="AB106" s="134" t="s">
        <v>39</v>
      </c>
    </row>
    <row r="107" spans="1:28">
      <c r="A107" s="1">
        <v>43053</v>
      </c>
      <c r="B107" t="s">
        <v>6</v>
      </c>
      <c r="C107" s="127" t="s">
        <v>57</v>
      </c>
      <c r="D107" s="133" t="s">
        <v>51</v>
      </c>
      <c r="E107" s="109">
        <v>2.5</v>
      </c>
      <c r="F107" s="95">
        <v>0.75</v>
      </c>
      <c r="G107" s="48">
        <v>5400</v>
      </c>
      <c r="H107" s="5"/>
      <c r="I107" s="5"/>
      <c r="J107" s="68">
        <f>(Table5[[#This Row],[RPM]]/5400-1)</f>
        <v>0</v>
      </c>
      <c r="K107" s="51">
        <v>144</v>
      </c>
      <c r="L107">
        <v>3</v>
      </c>
      <c r="M107" s="42">
        <v>600000</v>
      </c>
      <c r="N107">
        <v>180</v>
      </c>
      <c r="O107" s="42">
        <v>1000000</v>
      </c>
      <c r="P107" s="41">
        <f t="shared" ref="P107:P108" si="11">10^14</f>
        <v>100000000000000</v>
      </c>
      <c r="Q107" s="59">
        <v>5</v>
      </c>
      <c r="R107" s="5">
        <v>1.4</v>
      </c>
      <c r="S107" s="5">
        <v>0.6</v>
      </c>
      <c r="T107" s="140">
        <v>0.2</v>
      </c>
      <c r="U107" s="144">
        <f>(((Table5[[#This Row],[Watts Active]]*Power_On_Hours_Year/1000)*Active_Duty_Cycle)+((Table5[[#This Row],[Watts Idle]]*Power_On_Hours_Year/1000)*(100%-Active_Duty_Cycle)))*CostPerKWH</f>
        <v>0.83274720000000002</v>
      </c>
      <c r="V107" s="144">
        <f>Table5[Energy$year]/Table5[[#This Row],[SizTB]]</f>
        <v>1.1103296</v>
      </c>
      <c r="W107" s="158">
        <v>63.97</v>
      </c>
      <c r="X107" s="10">
        <f>Table5[[#This Row],[Cost]]/Table5[[#This Row],[SizTB]]</f>
        <v>85.293333333333337</v>
      </c>
      <c r="Y107" s="11">
        <f>Table5[[#This Row],[Cost]]+((CompareWarrYrs-Table5[[#This Row],[S]])*(Incremental_Warr_Yr*Table5[[#This Row],[Cost]]))</f>
        <v>78.043399999999991</v>
      </c>
      <c r="Z107" s="6">
        <f>Table5[[#This Row],[$+Warr]]/Table5[[#This Row],[SizTB]]</f>
        <v>104.05786666666665</v>
      </c>
      <c r="AA107" s="10">
        <f>Table5[[#This Row],[$PerTB]]/CompareWarrYrs</f>
        <v>20.811573333333332</v>
      </c>
      <c r="AB107" s="46"/>
    </row>
    <row r="108" spans="1:28">
      <c r="A108" s="1">
        <v>43053</v>
      </c>
      <c r="B108" t="s">
        <v>6</v>
      </c>
      <c r="C108" s="127" t="s">
        <v>57</v>
      </c>
      <c r="D108" s="133" t="s">
        <v>51</v>
      </c>
      <c r="E108" s="109">
        <v>2.5</v>
      </c>
      <c r="F108" s="95">
        <v>1</v>
      </c>
      <c r="G108" s="48">
        <v>5400</v>
      </c>
      <c r="H108" s="5"/>
      <c r="I108" s="5"/>
      <c r="J108" s="68">
        <f>(Table5[[#This Row],[RPM]]/5400-1)</f>
        <v>0</v>
      </c>
      <c r="K108" s="51">
        <v>144</v>
      </c>
      <c r="L108">
        <v>3</v>
      </c>
      <c r="M108" s="42">
        <v>600000</v>
      </c>
      <c r="N108">
        <v>180</v>
      </c>
      <c r="O108" s="42">
        <v>1000000</v>
      </c>
      <c r="P108" s="41">
        <f t="shared" si="11"/>
        <v>100000000000000</v>
      </c>
      <c r="Q108" s="59">
        <v>5</v>
      </c>
      <c r="R108" s="5">
        <v>1.4</v>
      </c>
      <c r="S108" s="5">
        <v>0.6</v>
      </c>
      <c r="T108" s="140">
        <v>0.2</v>
      </c>
      <c r="U108" s="144">
        <f>(((Table5[[#This Row],[Watts Active]]*Power_On_Hours_Year/1000)*Active_Duty_Cycle)+((Table5[[#This Row],[Watts Idle]]*Power_On_Hours_Year/1000)*(100%-Active_Duty_Cycle)))*CostPerKWH</f>
        <v>0.83274720000000002</v>
      </c>
      <c r="V108" s="144">
        <f>Table5[Energy$year]/Table5[[#This Row],[SizTB]]</f>
        <v>0.83274720000000002</v>
      </c>
      <c r="W108" s="158">
        <v>79.55</v>
      </c>
      <c r="X108" s="10">
        <f>Table5[[#This Row],[Cost]]/Table5[[#This Row],[SizTB]]</f>
        <v>79.55</v>
      </c>
      <c r="Y108" s="11">
        <f>Table5[[#This Row],[Cost]]+((CompareWarrYrs-Table5[[#This Row],[S]])*(Incremental_Warr_Yr*Table5[[#This Row],[Cost]]))</f>
        <v>97.051000000000002</v>
      </c>
      <c r="Z108" s="6">
        <f>Table5[[#This Row],[$+Warr]]/Table5[[#This Row],[SizTB]]</f>
        <v>97.051000000000002</v>
      </c>
      <c r="AA108" s="10">
        <f>Table5[[#This Row],[$PerTB]]/CompareWarrYrs</f>
        <v>19.4102</v>
      </c>
      <c r="AB108" s="46"/>
    </row>
    <row r="109" spans="1:28">
      <c r="A109" s="1">
        <v>43019</v>
      </c>
      <c r="B109" t="s">
        <v>6</v>
      </c>
      <c r="C109" s="127" t="s">
        <v>57</v>
      </c>
      <c r="D109" s="33" t="s">
        <v>51</v>
      </c>
      <c r="E109" s="109">
        <v>3.5</v>
      </c>
      <c r="F109" s="95">
        <v>1</v>
      </c>
      <c r="G109" s="48">
        <v>5400</v>
      </c>
      <c r="H109" s="5"/>
      <c r="I109" s="5"/>
      <c r="J109" s="68">
        <f>(Table5[[#This Row],[RPM]]/5400-1)</f>
        <v>0</v>
      </c>
      <c r="K109" s="51">
        <v>150</v>
      </c>
      <c r="L109">
        <v>3</v>
      </c>
      <c r="M109" s="42">
        <v>600000</v>
      </c>
      <c r="N109">
        <v>180</v>
      </c>
      <c r="O109" s="42">
        <v>1000000</v>
      </c>
      <c r="P109" s="41">
        <f>10^14</f>
        <v>100000000000000</v>
      </c>
      <c r="Q109" s="59">
        <f>12*1.2</f>
        <v>14.399999999999999</v>
      </c>
      <c r="R109" s="5">
        <v>3.3</v>
      </c>
      <c r="S109" s="5">
        <v>2.2999999999999998</v>
      </c>
      <c r="T109" s="140">
        <v>0.4</v>
      </c>
      <c r="U109" s="144">
        <f>(((Table5[[#This Row],[Watts Active]]*Power_On_Hours_Year/1000)*Active_Duty_Cycle)+((Table5[[#This Row],[Watts Idle]]*Power_On_Hours_Year/1000)*(100%-Active_Duty_Cycle)))*CostPerKWH</f>
        <v>2.7393000000000001</v>
      </c>
      <c r="V109" s="144">
        <f>Table5[Energy$year]/Table5[[#This Row],[SizTB]]</f>
        <v>2.7393000000000001</v>
      </c>
      <c r="W109" s="157">
        <v>59.99</v>
      </c>
      <c r="X109" s="10">
        <f>Table5[[#This Row],[Cost]]/Table5[[#This Row],[SizTB]]</f>
        <v>59.99</v>
      </c>
      <c r="Y109" s="11">
        <f>Table5[[#This Row],[Cost]]+((CompareWarrYrs-Table5[[#This Row],[S]])*(Incremental_Warr_Yr*Table5[[#This Row],[Cost]]))</f>
        <v>73.18780000000001</v>
      </c>
      <c r="Z109" s="6">
        <f>Table5[[#This Row],[$+Warr]]/Table5[[#This Row],[SizTB]]</f>
        <v>73.18780000000001</v>
      </c>
      <c r="AA109" s="10">
        <f>Table5[[#This Row],[$PerTB]]/CompareWarrYrs</f>
        <v>14.637560000000002</v>
      </c>
      <c r="AB109" s="46"/>
    </row>
    <row r="110" spans="1:28">
      <c r="A110" s="1">
        <v>43019</v>
      </c>
      <c r="B110" t="s">
        <v>6</v>
      </c>
      <c r="C110" s="127" t="s">
        <v>57</v>
      </c>
      <c r="D110" s="33" t="s">
        <v>51</v>
      </c>
      <c r="E110" s="109">
        <v>3.5</v>
      </c>
      <c r="F110" s="95">
        <v>2</v>
      </c>
      <c r="G110" s="48">
        <v>5400</v>
      </c>
      <c r="H110" s="5"/>
      <c r="I110" s="5"/>
      <c r="J110" s="68">
        <f>(Table5[[#This Row],[RPM]]/5400-1)</f>
        <v>0</v>
      </c>
      <c r="K110" s="51">
        <v>147</v>
      </c>
      <c r="L110">
        <v>3</v>
      </c>
      <c r="M110" s="42">
        <v>600000</v>
      </c>
      <c r="N110">
        <v>180</v>
      </c>
      <c r="O110" s="42">
        <v>1000000</v>
      </c>
      <c r="P110" s="41">
        <f t="shared" ref="P110:P116" si="12">10^14</f>
        <v>100000000000000</v>
      </c>
      <c r="Q110" s="59">
        <f>12*1.73</f>
        <v>20.759999999999998</v>
      </c>
      <c r="R110" s="5">
        <v>4.0999999999999996</v>
      </c>
      <c r="S110" s="5">
        <v>2.7</v>
      </c>
      <c r="T110" s="140">
        <v>0.4</v>
      </c>
      <c r="U110" s="144">
        <f>(((Table5[[#This Row],[Watts Active]]*Power_On_Hours_Year/1000)*Active_Duty_Cycle)+((Table5[[#This Row],[Watts Idle]]*Power_On_Hours_Year/1000)*(100%-Active_Duty_Cycle)))*CostPerKWH</f>
        <v>3.2652456000000005</v>
      </c>
      <c r="V110" s="144">
        <f>Table5[Energy$year]/Table5[[#This Row],[SizTB]]</f>
        <v>1.6326228000000003</v>
      </c>
      <c r="W110" s="157">
        <v>84.99</v>
      </c>
      <c r="X110" s="10">
        <f>Table5[[#This Row],[Cost]]/Table5[[#This Row],[SizTB]]</f>
        <v>42.494999999999997</v>
      </c>
      <c r="Y110" s="11">
        <f>Table5[[#This Row],[Cost]]+((CompareWarrYrs-Table5[[#This Row],[S]])*(Incremental_Warr_Yr*Table5[[#This Row],[Cost]]))</f>
        <v>103.6878</v>
      </c>
      <c r="Z110" s="6">
        <f>Table5[[#This Row],[$+Warr]]/Table5[[#This Row],[SizTB]]</f>
        <v>51.843899999999998</v>
      </c>
      <c r="AA110" s="10">
        <f>Table5[[#This Row],[$PerTB]]/CompareWarrYrs</f>
        <v>10.368779999999999</v>
      </c>
      <c r="AB110" s="46"/>
    </row>
    <row r="111" spans="1:28">
      <c r="A111" s="1">
        <v>43046</v>
      </c>
      <c r="B111" t="s">
        <v>6</v>
      </c>
      <c r="C111" s="127" t="s">
        <v>57</v>
      </c>
      <c r="D111" s="33" t="s">
        <v>51</v>
      </c>
      <c r="E111" s="109">
        <v>3.5</v>
      </c>
      <c r="F111" s="95">
        <v>3</v>
      </c>
      <c r="G111" s="48">
        <v>5400</v>
      </c>
      <c r="H111" s="5"/>
      <c r="I111" s="5">
        <v>8.9</v>
      </c>
      <c r="J111" s="68">
        <f>(Table5[[#This Row],[RPM]]/5400-1)</f>
        <v>0</v>
      </c>
      <c r="K111" s="51">
        <v>147</v>
      </c>
      <c r="L111">
        <v>3</v>
      </c>
      <c r="M111" s="42">
        <v>600000</v>
      </c>
      <c r="N111">
        <v>180</v>
      </c>
      <c r="O111" s="42">
        <v>1000000</v>
      </c>
      <c r="P111" s="41">
        <f t="shared" si="12"/>
        <v>100000000000000</v>
      </c>
      <c r="Q111" s="59">
        <f>12*1.73</f>
        <v>20.759999999999998</v>
      </c>
      <c r="R111" s="5">
        <v>4.0999999999999996</v>
      </c>
      <c r="S111" s="5">
        <v>2.7</v>
      </c>
      <c r="T111" s="140">
        <v>0.4</v>
      </c>
      <c r="U111" s="144">
        <f>(((Table5[[#This Row],[Watts Active]]*Power_On_Hours_Year/1000)*Active_Duty_Cycle)+((Table5[[#This Row],[Watts Idle]]*Power_On_Hours_Year/1000)*(100%-Active_Duty_Cycle)))*CostPerKWH</f>
        <v>3.2652456000000005</v>
      </c>
      <c r="V111" s="144">
        <f>Table5[Energy$year]/Table5[[#This Row],[SizTB]]</f>
        <v>1.0884152000000002</v>
      </c>
      <c r="W111" s="158">
        <v>95.99</v>
      </c>
      <c r="X111" s="10">
        <f>Table5[[#This Row],[Cost]]/Table5[[#This Row],[SizTB]]</f>
        <v>31.996666666666666</v>
      </c>
      <c r="Y111" s="11">
        <f>Table5[[#This Row],[Cost]]+((CompareWarrYrs-Table5[[#This Row],[S]])*(Incremental_Warr_Yr*Table5[[#This Row],[Cost]]))</f>
        <v>117.1078</v>
      </c>
      <c r="Z111" s="6">
        <f>Table5[[#This Row],[$+Warr]]/Table5[[#This Row],[SizTB]]</f>
        <v>39.035933333333332</v>
      </c>
      <c r="AA111" s="10">
        <f>Table5[[#This Row],[$PerTB]]/CompareWarrYrs</f>
        <v>7.8071866666666665</v>
      </c>
      <c r="AB111" s="46"/>
    </row>
    <row r="112" spans="1:28">
      <c r="A112" s="1">
        <v>43046</v>
      </c>
      <c r="B112" t="s">
        <v>6</v>
      </c>
      <c r="C112" s="127" t="s">
        <v>57</v>
      </c>
      <c r="D112" s="33" t="s">
        <v>51</v>
      </c>
      <c r="E112" s="109">
        <v>3.5</v>
      </c>
      <c r="F112" s="95">
        <v>4</v>
      </c>
      <c r="G112" s="48">
        <v>5400</v>
      </c>
      <c r="H112" s="5"/>
      <c r="I112" s="5"/>
      <c r="J112" s="68">
        <f>(Table5[[#This Row],[RPM]]/5400-1)</f>
        <v>0</v>
      </c>
      <c r="K112" s="51">
        <v>150</v>
      </c>
      <c r="L112">
        <v>3</v>
      </c>
      <c r="M112" s="42">
        <v>600000</v>
      </c>
      <c r="N112">
        <v>180</v>
      </c>
      <c r="O112" s="42">
        <v>1000000</v>
      </c>
      <c r="P112" s="41">
        <f t="shared" si="12"/>
        <v>100000000000000</v>
      </c>
      <c r="Q112" s="59">
        <f>12*1.75</f>
        <v>21</v>
      </c>
      <c r="R112" s="5">
        <v>4.5</v>
      </c>
      <c r="S112" s="5">
        <v>3.3</v>
      </c>
      <c r="T112" s="140">
        <v>0.4</v>
      </c>
      <c r="U112" s="144">
        <f>(((Table5[[#This Row],[Watts Active]]*Power_On_Hours_Year/1000)*Active_Duty_Cycle)+((Table5[[#This Row],[Watts Idle]]*Power_On_Hours_Year/1000)*(100%-Active_Duty_Cycle)))*CostPerKWH</f>
        <v>3.8788488000000001</v>
      </c>
      <c r="V112" s="144">
        <f>Table5[Energy$year]/Table5[[#This Row],[SizTB]]</f>
        <v>0.96971220000000002</v>
      </c>
      <c r="W112" s="158">
        <v>133.99</v>
      </c>
      <c r="X112" s="10">
        <f>Table5[[#This Row],[Cost]]/Table5[[#This Row],[SizTB]]</f>
        <v>33.497500000000002</v>
      </c>
      <c r="Y112" s="11">
        <f>Table5[[#This Row],[Cost]]+((CompareWarrYrs-Table5[[#This Row],[S]])*(Incremental_Warr_Yr*Table5[[#This Row],[Cost]]))</f>
        <v>163.46780000000001</v>
      </c>
      <c r="Z112" s="6">
        <f>Table5[[#This Row],[$+Warr]]/Table5[[#This Row],[SizTB]]</f>
        <v>40.866950000000003</v>
      </c>
      <c r="AA112" s="10">
        <f>Table5[[#This Row],[$PerTB]]/CompareWarrYrs</f>
        <v>8.1733900000000013</v>
      </c>
      <c r="AB112" s="46"/>
    </row>
    <row r="113" spans="1:28">
      <c r="A113" s="1">
        <v>43008</v>
      </c>
      <c r="B113" t="s">
        <v>6</v>
      </c>
      <c r="C113" s="127" t="s">
        <v>57</v>
      </c>
      <c r="D113" s="33" t="s">
        <v>51</v>
      </c>
      <c r="E113" s="109">
        <v>3.5</v>
      </c>
      <c r="F113" s="95">
        <v>5</v>
      </c>
      <c r="G113" s="48">
        <v>5400</v>
      </c>
      <c r="H113" s="5"/>
      <c r="I113" s="5"/>
      <c r="J113" s="68">
        <f>(Table5[[#This Row],[RPM]]/5400-1)</f>
        <v>0</v>
      </c>
      <c r="K113" s="51"/>
      <c r="L113">
        <v>3</v>
      </c>
      <c r="M113" s="42">
        <v>600000</v>
      </c>
      <c r="N113">
        <v>180</v>
      </c>
      <c r="O113" s="42">
        <v>1000000</v>
      </c>
      <c r="P113" s="41">
        <f t="shared" si="12"/>
        <v>100000000000000</v>
      </c>
      <c r="Q113" s="59">
        <f>12*1.75</f>
        <v>21</v>
      </c>
      <c r="R113" s="5">
        <v>5.3</v>
      </c>
      <c r="S113" s="5">
        <v>3.4</v>
      </c>
      <c r="T113" s="140">
        <v>0.4</v>
      </c>
      <c r="U113" s="144">
        <f>(((Table5[[#This Row],[Watts Active]]*Power_On_Hours_Year/1000)*Active_Duty_Cycle)+((Table5[[#This Row],[Watts Idle]]*Power_On_Hours_Year/1000)*(100%-Active_Duty_Cycle)))*CostPerKWH</f>
        <v>4.1418216000000001</v>
      </c>
      <c r="V113" s="144">
        <f>Table5[Energy$year]/Table5[[#This Row],[SizTB]]</f>
        <v>0.82836432000000004</v>
      </c>
      <c r="W113" s="157">
        <v>262</v>
      </c>
      <c r="X113" s="10">
        <f>Table5[[#This Row],[Cost]]/Table5[[#This Row],[SizTB]]</f>
        <v>52.4</v>
      </c>
      <c r="Y113" s="11">
        <f>Table5[[#This Row],[Cost]]+((CompareWarrYrs-Table5[[#This Row],[S]])*(Incremental_Warr_Yr*Table5[[#This Row],[Cost]]))</f>
        <v>319.64</v>
      </c>
      <c r="Z113" s="6">
        <f>Table5[[#This Row],[$+Warr]]/Table5[[#This Row],[SizTB]]</f>
        <v>63.927999999999997</v>
      </c>
      <c r="AA113" s="10">
        <f>Table5[[#This Row],[$PerTB]]/CompareWarrYrs</f>
        <v>12.785599999999999</v>
      </c>
      <c r="AB113" s="46"/>
    </row>
    <row r="114" spans="1:28">
      <c r="A114" s="1">
        <v>43050</v>
      </c>
      <c r="B114" t="s">
        <v>6</v>
      </c>
      <c r="C114" s="127" t="s">
        <v>57</v>
      </c>
      <c r="D114" s="33" t="s">
        <v>51</v>
      </c>
      <c r="E114" s="109">
        <v>3.5</v>
      </c>
      <c r="F114" s="95">
        <v>6</v>
      </c>
      <c r="G114" s="48">
        <v>5400</v>
      </c>
      <c r="H114" s="5"/>
      <c r="I114" s="5"/>
      <c r="J114" s="68">
        <f>(Table5[[#This Row],[RPM]]/5400-1)</f>
        <v>0</v>
      </c>
      <c r="K114" s="51">
        <v>175</v>
      </c>
      <c r="L114">
        <v>3</v>
      </c>
      <c r="M114" s="42">
        <v>600000</v>
      </c>
      <c r="N114">
        <v>180</v>
      </c>
      <c r="O114" s="42">
        <v>1000000</v>
      </c>
      <c r="P114" s="41">
        <f t="shared" si="12"/>
        <v>100000000000000</v>
      </c>
      <c r="Q114" s="59">
        <f>12*1.75</f>
        <v>21</v>
      </c>
      <c r="R114" s="5">
        <v>5.3</v>
      </c>
      <c r="S114" s="5">
        <v>3.4</v>
      </c>
      <c r="T114" s="140">
        <v>0.4</v>
      </c>
      <c r="U114" s="144">
        <f>(((Table5[[#This Row],[Watts Active]]*Power_On_Hours_Year/1000)*Active_Duty_Cycle)+((Table5[[#This Row],[Watts Idle]]*Power_On_Hours_Year/1000)*(100%-Active_Duty_Cycle)))*CostPerKWH</f>
        <v>4.1418216000000001</v>
      </c>
      <c r="V114" s="144">
        <f>Table5[Energy$year]/Table5[[#This Row],[SizTB]]</f>
        <v>0.69030360000000002</v>
      </c>
      <c r="W114" s="157">
        <v>189.99</v>
      </c>
      <c r="X114" s="10">
        <f>Table5[[#This Row],[Cost]]/Table5[[#This Row],[SizTB]]</f>
        <v>31.665000000000003</v>
      </c>
      <c r="Y114" s="11">
        <f>Table5[[#This Row],[Cost]]+((CompareWarrYrs-Table5[[#This Row],[S]])*(Incremental_Warr_Yr*Table5[[#This Row],[Cost]]))</f>
        <v>231.7878</v>
      </c>
      <c r="Z114" s="6">
        <f>Table5[[#This Row],[$+Warr]]/Table5[[#This Row],[SizTB]]</f>
        <v>38.631300000000003</v>
      </c>
      <c r="AA114" s="10">
        <f>Table5[[#This Row],[$PerTB]]/CompareWarrYrs</f>
        <v>7.7262600000000008</v>
      </c>
      <c r="AB114" s="46"/>
    </row>
    <row r="115" spans="1:28">
      <c r="A115" s="1">
        <v>43043</v>
      </c>
      <c r="B115" t="s">
        <v>6</v>
      </c>
      <c r="C115" s="127" t="s">
        <v>57</v>
      </c>
      <c r="D115" s="33" t="s">
        <v>51</v>
      </c>
      <c r="E115" s="109">
        <v>3.5</v>
      </c>
      <c r="F115" s="95">
        <v>8</v>
      </c>
      <c r="G115" s="48">
        <v>5400</v>
      </c>
      <c r="H115" s="5"/>
      <c r="I115" s="5"/>
      <c r="J115" s="68">
        <f>(Table5[[#This Row],[RPM]]/5400-1)</f>
        <v>0</v>
      </c>
      <c r="K115" s="51">
        <v>178</v>
      </c>
      <c r="L115">
        <v>3</v>
      </c>
      <c r="M115" s="42">
        <v>600000</v>
      </c>
      <c r="N115">
        <v>180</v>
      </c>
      <c r="O115" s="42">
        <v>1000000</v>
      </c>
      <c r="P115" s="41">
        <f t="shared" si="12"/>
        <v>100000000000000</v>
      </c>
      <c r="Q115" s="59">
        <f>12*1.79</f>
        <v>21.48</v>
      </c>
      <c r="R115" s="5">
        <v>6.4</v>
      </c>
      <c r="S115" s="5">
        <v>5.2</v>
      </c>
      <c r="T115" s="140">
        <v>0.7</v>
      </c>
      <c r="U115" s="144">
        <f>(((Table5[[#This Row],[Watts Active]]*Power_On_Hours_Year/1000)*Active_Duty_Cycle)+((Table5[[#This Row],[Watts Idle]]*Power_On_Hours_Year/1000)*(100%-Active_Duty_Cycle)))*CostPerKWH</f>
        <v>5.960716800000001</v>
      </c>
      <c r="V115" s="144">
        <f>Table5[Energy$year]/Table5[[#This Row],[SizTB]]</f>
        <v>0.74508960000000013</v>
      </c>
      <c r="W115" s="157">
        <v>254.99</v>
      </c>
      <c r="X115" s="10">
        <f>Table5[[#This Row],[Cost]]/Table5[[#This Row],[SizTB]]</f>
        <v>31.873750000000001</v>
      </c>
      <c r="Y115" s="11">
        <f>Table5[[#This Row],[Cost]]+((CompareWarrYrs-Table5[[#This Row],[S]])*(Incremental_Warr_Yr*Table5[[#This Row],[Cost]]))</f>
        <v>311.08780000000002</v>
      </c>
      <c r="Z115" s="6">
        <f>Table5[[#This Row],[$+Warr]]/Table5[[#This Row],[SizTB]]</f>
        <v>38.885975000000002</v>
      </c>
      <c r="AA115" s="10">
        <f>Table5[[#This Row],[$PerTB]]/CompareWarrYrs</f>
        <v>7.7771950000000007</v>
      </c>
      <c r="AB115" s="134" t="s">
        <v>39</v>
      </c>
    </row>
    <row r="116" spans="1:28">
      <c r="A116" s="1">
        <v>43039</v>
      </c>
      <c r="B116" t="s">
        <v>6</v>
      </c>
      <c r="C116" s="127" t="s">
        <v>57</v>
      </c>
      <c r="D116" s="33" t="s">
        <v>51</v>
      </c>
      <c r="E116" s="109">
        <v>3.5</v>
      </c>
      <c r="F116" s="95">
        <v>10</v>
      </c>
      <c r="G116" s="48">
        <v>5400</v>
      </c>
      <c r="H116" s="5"/>
      <c r="I116" s="5"/>
      <c r="J116" s="68">
        <f>(Table5[[#This Row],[RPM]]/5400-1)</f>
        <v>0</v>
      </c>
      <c r="K116" s="51">
        <v>210</v>
      </c>
      <c r="L116">
        <v>3</v>
      </c>
      <c r="M116" s="42">
        <v>600000</v>
      </c>
      <c r="N116">
        <v>180</v>
      </c>
      <c r="O116" s="42">
        <v>1000000</v>
      </c>
      <c r="P116" s="41">
        <f t="shared" si="12"/>
        <v>100000000000000</v>
      </c>
      <c r="Q116" s="59">
        <f>12*1.79</f>
        <v>21.48</v>
      </c>
      <c r="R116" s="5">
        <v>5.7</v>
      </c>
      <c r="S116" s="5">
        <v>2.8</v>
      </c>
      <c r="T116" s="140">
        <v>0.5</v>
      </c>
      <c r="U116" s="144">
        <f>(((Table5[[#This Row],[Watts Active]]*Power_On_Hours_Year/1000)*Active_Duty_Cycle)+((Table5[[#This Row],[Watts Idle]]*Power_On_Hours_Year/1000)*(100%-Active_Duty_Cycle)))*CostPerKWH</f>
        <v>3.7035336000000001</v>
      </c>
      <c r="V116" s="144">
        <f>Table5[Energy$year]/Table5[[#This Row],[SizTB]]</f>
        <v>0.37035336000000002</v>
      </c>
      <c r="W116" s="157">
        <v>349.99</v>
      </c>
      <c r="X116" s="10">
        <f>Table5[[#This Row],[Cost]]/Table5[[#This Row],[SizTB]]</f>
        <v>34.999000000000002</v>
      </c>
      <c r="Y116" s="11">
        <f>Table5[[#This Row],[Cost]]+((CompareWarrYrs-Table5[[#This Row],[S]])*(Incremental_Warr_Yr*Table5[[#This Row],[Cost]]))</f>
        <v>426.98779999999999</v>
      </c>
      <c r="Z116" s="6">
        <f>Table5[[#This Row],[$+Warr]]/Table5[[#This Row],[SizTB]]</f>
        <v>42.698779999999999</v>
      </c>
      <c r="AA116" s="10">
        <f>Table5[[#This Row],[$PerTB]]/CompareWarrYrs</f>
        <v>8.5397560000000006</v>
      </c>
      <c r="AB116" s="134" t="s">
        <v>39</v>
      </c>
    </row>
    <row r="117" spans="1:28">
      <c r="A117" s="1">
        <v>43019</v>
      </c>
      <c r="B117" t="s">
        <v>6</v>
      </c>
      <c r="C117" s="127" t="s">
        <v>12</v>
      </c>
      <c r="D117" s="33" t="s">
        <v>51</v>
      </c>
      <c r="E117" s="109">
        <v>3.5</v>
      </c>
      <c r="F117" s="95">
        <v>2</v>
      </c>
      <c r="G117" s="48">
        <v>7200</v>
      </c>
      <c r="H117" s="5"/>
      <c r="I117" s="5"/>
      <c r="J117" s="68">
        <f>(Table5[[#This Row],[RPM]]/5400-1)</f>
        <v>0.33333333333333326</v>
      </c>
      <c r="K117" s="51">
        <v>164</v>
      </c>
      <c r="L117">
        <v>5</v>
      </c>
      <c r="M117" s="42">
        <v>600000</v>
      </c>
      <c r="N117">
        <v>300</v>
      </c>
      <c r="O117" s="42">
        <v>1000000</v>
      </c>
      <c r="P117" s="41">
        <v>1000000000000000</v>
      </c>
      <c r="Q117" s="59">
        <f>12*1.9</f>
        <v>22.799999999999997</v>
      </c>
      <c r="R117" s="5">
        <v>7.8</v>
      </c>
      <c r="S117" s="5">
        <v>6</v>
      </c>
      <c r="T117" s="140">
        <v>1.4</v>
      </c>
      <c r="U117" s="144">
        <f>(((Table5[[#This Row],[Watts Active]]*Power_On_Hours_Year/1000)*Active_Duty_Cycle)+((Table5[[#This Row],[Watts Idle]]*Power_On_Hours_Year/1000)*(100%-Active_Duty_Cycle)))*CostPerKWH</f>
        <v>6.9687792000000002</v>
      </c>
      <c r="V117" s="144">
        <f>Table5[Energy$year]/Table5[[#This Row],[SizTB]]</f>
        <v>3.4843896000000001</v>
      </c>
      <c r="W117" s="157">
        <v>120.99</v>
      </c>
      <c r="X117" s="10">
        <f>Table5[[#This Row],[Cost]]/Table5[[#This Row],[SizTB]]</f>
        <v>60.494999999999997</v>
      </c>
      <c r="Y117" s="11">
        <f>Table5[[#This Row],[Cost]]+((CompareWarrYrs-Table5[[#This Row],[S]])*(Incremental_Warr_Yr*Table5[[#This Row],[Cost]]))</f>
        <v>120.99</v>
      </c>
      <c r="Z117" s="6">
        <f>Table5[[#This Row],[$+Warr]]/Table5[[#This Row],[SizTB]]</f>
        <v>60.494999999999997</v>
      </c>
      <c r="AA117" s="10">
        <f>Table5[[#This Row],[$PerTB]]/CompareWarrYrs</f>
        <v>12.099</v>
      </c>
      <c r="AB117" s="46"/>
    </row>
    <row r="118" spans="1:28">
      <c r="A118" s="1">
        <v>43001</v>
      </c>
      <c r="B118" t="s">
        <v>6</v>
      </c>
      <c r="C118" s="127" t="s">
        <v>12</v>
      </c>
      <c r="D118" s="33" t="s">
        <v>51</v>
      </c>
      <c r="E118" s="109">
        <v>3.5</v>
      </c>
      <c r="F118" s="95">
        <v>3</v>
      </c>
      <c r="G118" s="48">
        <v>7200</v>
      </c>
      <c r="H118" s="5"/>
      <c r="I118" s="5"/>
      <c r="J118" s="68">
        <f>(Table5[[#This Row],[RPM]]/5400-1)</f>
        <v>0.33333333333333326</v>
      </c>
      <c r="K118" s="51"/>
      <c r="L118">
        <v>5</v>
      </c>
      <c r="M118" s="42">
        <v>600000</v>
      </c>
      <c r="N118">
        <v>300</v>
      </c>
      <c r="O118" s="42">
        <v>1000000</v>
      </c>
      <c r="P118" s="41">
        <v>1000000000000000</v>
      </c>
      <c r="Q118" s="59">
        <f>12*1.9</f>
        <v>22.799999999999997</v>
      </c>
      <c r="R118" s="5">
        <v>8.6</v>
      </c>
      <c r="S118" s="5">
        <v>6.5</v>
      </c>
      <c r="T118" s="140">
        <v>0.6</v>
      </c>
      <c r="U118" s="144">
        <f>(((Table5[[#This Row],[Watts Active]]*Power_On_Hours_Year/1000)*Active_Duty_Cycle)+((Table5[[#This Row],[Watts Idle]]*Power_On_Hours_Year/1000)*(100%-Active_Duty_Cycle)))*CostPerKWH</f>
        <v>7.5823824000000002</v>
      </c>
      <c r="V118" s="144">
        <f>Table5[Energy$year]/Table5[[#This Row],[SizTB]]</f>
        <v>2.5274608000000001</v>
      </c>
      <c r="W118" s="157">
        <v>209.99</v>
      </c>
      <c r="X118" s="10">
        <f>Table5[[#This Row],[Cost]]/Table5[[#This Row],[SizTB]]</f>
        <v>69.99666666666667</v>
      </c>
      <c r="Y118" s="11">
        <f>Table5[[#This Row],[Cost]]+((CompareWarrYrs-Table5[[#This Row],[S]])*(Incremental_Warr_Yr*Table5[[#This Row],[Cost]]))</f>
        <v>209.99</v>
      </c>
      <c r="Z118" s="6">
        <f>Table5[[#This Row],[$+Warr]]/Table5[[#This Row],[SizTB]]</f>
        <v>69.99666666666667</v>
      </c>
      <c r="AA118" s="10">
        <f>Table5[[#This Row],[$PerTB]]/CompareWarrYrs</f>
        <v>13.999333333333334</v>
      </c>
      <c r="AB118" s="46"/>
    </row>
    <row r="119" spans="1:28">
      <c r="A119" s="1">
        <v>43019</v>
      </c>
      <c r="B119" t="s">
        <v>6</v>
      </c>
      <c r="C119" s="127" t="s">
        <v>12</v>
      </c>
      <c r="D119" s="33" t="s">
        <v>51</v>
      </c>
      <c r="E119" s="109">
        <v>3.5</v>
      </c>
      <c r="F119" s="95">
        <v>4</v>
      </c>
      <c r="G119" s="48">
        <v>7200</v>
      </c>
      <c r="H119" s="5"/>
      <c r="I119" s="5"/>
      <c r="J119" s="68">
        <f>(Table5[[#This Row],[RPM]]/5400-1)</f>
        <v>0.33333333333333326</v>
      </c>
      <c r="K119" s="51">
        <v>202</v>
      </c>
      <c r="L119">
        <v>5</v>
      </c>
      <c r="M119" s="42">
        <v>600000</v>
      </c>
      <c r="N119">
        <v>300</v>
      </c>
      <c r="O119" s="42">
        <v>1000000</v>
      </c>
      <c r="P119" s="41">
        <v>1000000000000000</v>
      </c>
      <c r="Q119" s="59">
        <f>12*1.79</f>
        <v>21.48</v>
      </c>
      <c r="R119" s="5">
        <v>9.1</v>
      </c>
      <c r="S119" s="5">
        <v>7.1</v>
      </c>
      <c r="T119" s="140">
        <v>1</v>
      </c>
      <c r="U119" s="144">
        <f>(((Table5[[#This Row],[Watts Active]]*Power_On_Hours_Year/1000)*Active_Duty_Cycle)+((Table5[[#This Row],[Watts Idle]]*Power_On_Hours_Year/1000)*(100%-Active_Duty_Cycle)))*CostPerKWH</f>
        <v>8.2179000000000002</v>
      </c>
      <c r="V119" s="144">
        <f>Table5[Energy$year]/Table5[[#This Row],[SizTB]]</f>
        <v>2.0544750000000001</v>
      </c>
      <c r="W119" s="157">
        <v>174.99</v>
      </c>
      <c r="X119" s="10">
        <f>Table5[[#This Row],[Cost]]/Table5[[#This Row],[SizTB]]</f>
        <v>43.747500000000002</v>
      </c>
      <c r="Y119" s="11">
        <f>Table5[[#This Row],[Cost]]+((CompareWarrYrs-Table5[[#This Row],[S]])*(Incremental_Warr_Yr*Table5[[#This Row],[Cost]]))</f>
        <v>174.99</v>
      </c>
      <c r="Z119" s="6">
        <f>Table5[[#This Row],[$+Warr]]/Table5[[#This Row],[SizTB]]</f>
        <v>43.747500000000002</v>
      </c>
      <c r="AA119" s="10">
        <f>Table5[[#This Row],[$PerTB]]/CompareWarrYrs</f>
        <v>8.7495000000000012</v>
      </c>
      <c r="AB119" s="46"/>
    </row>
    <row r="120" spans="1:28">
      <c r="A120" s="1">
        <v>43028</v>
      </c>
      <c r="B120" t="s">
        <v>6</v>
      </c>
      <c r="C120" s="127" t="s">
        <v>12</v>
      </c>
      <c r="D120" s="33" t="s">
        <v>51</v>
      </c>
      <c r="E120" s="109">
        <v>3.5</v>
      </c>
      <c r="F120" s="95">
        <v>6</v>
      </c>
      <c r="G120" s="48">
        <v>7200</v>
      </c>
      <c r="H120" s="5"/>
      <c r="I120" s="5"/>
      <c r="J120" s="68">
        <f>(Table5[[#This Row],[RPM]]/5400-1)</f>
        <v>0.33333333333333326</v>
      </c>
      <c r="K120" s="51">
        <v>227</v>
      </c>
      <c r="L120">
        <v>5</v>
      </c>
      <c r="M120" s="42">
        <v>600000</v>
      </c>
      <c r="N120">
        <v>300</v>
      </c>
      <c r="O120" s="42">
        <v>1000000</v>
      </c>
      <c r="P120" s="41">
        <v>1000000000000000</v>
      </c>
      <c r="Q120" s="59">
        <f>12*1.79</f>
        <v>21.48</v>
      </c>
      <c r="R120" s="5">
        <v>9.1</v>
      </c>
      <c r="S120" s="5">
        <v>7.1</v>
      </c>
      <c r="T120" s="140">
        <v>1</v>
      </c>
      <c r="U120" s="144">
        <f>(((Table5[[#This Row],[Watts Active]]*Power_On_Hours_Year/1000)*Active_Duty_Cycle)+((Table5[[#This Row],[Watts Idle]]*Power_On_Hours_Year/1000)*(100%-Active_Duty_Cycle)))*CostPerKWH</f>
        <v>8.2179000000000002</v>
      </c>
      <c r="V120" s="144">
        <f>Table5[Energy$year]/Table5[[#This Row],[SizTB]]</f>
        <v>1.36965</v>
      </c>
      <c r="W120" s="157">
        <v>230</v>
      </c>
      <c r="X120" s="10">
        <f>Table5[[#This Row],[Cost]]/Table5[[#This Row],[SizTB]]</f>
        <v>38.333333333333336</v>
      </c>
      <c r="Y120" s="11">
        <f>Table5[[#This Row],[Cost]]+((CompareWarrYrs-Table5[[#This Row],[S]])*(Incremental_Warr_Yr*Table5[[#This Row],[Cost]]))</f>
        <v>230</v>
      </c>
      <c r="Z120" s="6">
        <f>Table5[[#This Row],[$+Warr]]/Table5[[#This Row],[SizTB]]</f>
        <v>38.333333333333336</v>
      </c>
      <c r="AA120" s="10">
        <f>Table5[[#This Row],[$PerTB]]/CompareWarrYrs</f>
        <v>7.666666666666667</v>
      </c>
      <c r="AB120" s="46"/>
    </row>
    <row r="121" spans="1:28">
      <c r="A121" s="1">
        <v>43019</v>
      </c>
      <c r="B121" t="s">
        <v>6</v>
      </c>
      <c r="C121" s="127" t="s">
        <v>12</v>
      </c>
      <c r="D121" s="33" t="s">
        <v>51</v>
      </c>
      <c r="E121" s="109">
        <v>3.5</v>
      </c>
      <c r="F121" s="95">
        <v>8</v>
      </c>
      <c r="G121" s="48">
        <v>7200</v>
      </c>
      <c r="H121" s="5"/>
      <c r="I121" s="5"/>
      <c r="J121" s="68">
        <f>(Table5[[#This Row],[RPM]]/5400-1)</f>
        <v>0.33333333333333326</v>
      </c>
      <c r="K121" s="51">
        <v>205</v>
      </c>
      <c r="L121">
        <v>5</v>
      </c>
      <c r="M121" s="42">
        <v>600000</v>
      </c>
      <c r="N121">
        <v>300</v>
      </c>
      <c r="O121" s="42">
        <v>1000000</v>
      </c>
      <c r="P121" s="41">
        <v>1000000000000000</v>
      </c>
      <c r="Q121" s="59">
        <f>12*1.79</f>
        <v>21.48</v>
      </c>
      <c r="R121" s="5">
        <v>8.3000000000000007</v>
      </c>
      <c r="S121" s="5">
        <v>5.2</v>
      </c>
      <c r="T121" s="140">
        <v>1</v>
      </c>
      <c r="U121" s="144">
        <f>(((Table5[[#This Row],[Watts Active]]*Power_On_Hours_Year/1000)*Active_Duty_Cycle)+((Table5[[#This Row],[Watts Idle]]*Power_On_Hours_Year/1000)*(100%-Active_Duty_Cycle)))*CostPerKWH</f>
        <v>6.377090400000001</v>
      </c>
      <c r="V121" s="144">
        <f>Table5[Energy$year]/Table5[[#This Row],[SizTB]]</f>
        <v>0.79713630000000013</v>
      </c>
      <c r="W121" s="157">
        <v>328</v>
      </c>
      <c r="X121" s="10">
        <f>Table5[[#This Row],[Cost]]/Table5[[#This Row],[SizTB]]</f>
        <v>41</v>
      </c>
      <c r="Y121" s="11">
        <f>Table5[[#This Row],[Cost]]+((CompareWarrYrs-Table5[[#This Row],[S]])*(Incremental_Warr_Yr*Table5[[#This Row],[Cost]]))</f>
        <v>328</v>
      </c>
      <c r="Z121" s="6">
        <f>Table5[[#This Row],[$+Warr]]/Table5[[#This Row],[SizTB]]</f>
        <v>41</v>
      </c>
      <c r="AA121" s="10">
        <f>Table5[[#This Row],[$PerTB]]/CompareWarrYrs</f>
        <v>8.1999999999999993</v>
      </c>
      <c r="AB121" s="134" t="s">
        <v>39</v>
      </c>
    </row>
    <row r="122" spans="1:28" ht="15.75" thickBot="1">
      <c r="A122" s="1">
        <v>43019</v>
      </c>
      <c r="B122" t="s">
        <v>6</v>
      </c>
      <c r="C122" s="127" t="s">
        <v>12</v>
      </c>
      <c r="D122" s="118" t="s">
        <v>51</v>
      </c>
      <c r="E122" s="109">
        <v>3.5</v>
      </c>
      <c r="F122" s="95">
        <v>10</v>
      </c>
      <c r="G122" s="49">
        <v>7200</v>
      </c>
      <c r="H122" s="5"/>
      <c r="I122" s="5"/>
      <c r="J122" s="68">
        <f>(Table5[[#This Row],[RPM]]/5400-1)</f>
        <v>0.33333333333333326</v>
      </c>
      <c r="K122" s="52">
        <v>240</v>
      </c>
      <c r="L122">
        <v>5</v>
      </c>
      <c r="M122" s="42">
        <v>600000</v>
      </c>
      <c r="N122">
        <v>300</v>
      </c>
      <c r="O122" s="42">
        <v>1000000</v>
      </c>
      <c r="P122" s="41">
        <v>1000000000000000</v>
      </c>
      <c r="Q122" s="59">
        <f>12*1.8</f>
        <v>21.6</v>
      </c>
      <c r="R122" s="5">
        <v>5.7</v>
      </c>
      <c r="S122" s="5">
        <v>2.8</v>
      </c>
      <c r="T122" s="140">
        <v>0.5</v>
      </c>
      <c r="U122" s="148">
        <f>(((Table5[[#This Row],[Watts Active]]*Power_On_Hours_Year/1000)*Active_Duty_Cycle)+((Table5[[#This Row],[Watts Idle]]*Power_On_Hours_Year/1000)*(100%-Active_Duty_Cycle)))*CostPerKWH</f>
        <v>3.7035336000000001</v>
      </c>
      <c r="V122" s="144">
        <f>Table5[Energy$year]/Table5[[#This Row],[SizTB]]</f>
        <v>0.37035336000000002</v>
      </c>
      <c r="W122" s="157">
        <v>440.77</v>
      </c>
      <c r="X122" s="10">
        <f>Table5[[#This Row],[Cost]]/Table5[[#This Row],[SizTB]]</f>
        <v>44.076999999999998</v>
      </c>
      <c r="Y122" s="11">
        <f>Table5[[#This Row],[Cost]]+((CompareWarrYrs-Table5[[#This Row],[S]])*(Incremental_Warr_Yr*Table5[[#This Row],[Cost]]))</f>
        <v>440.77</v>
      </c>
      <c r="Z122" s="6">
        <f>Table5[[#This Row],[$+Warr]]/Table5[[#This Row],[SizTB]]</f>
        <v>44.076999999999998</v>
      </c>
      <c r="AA122" s="10">
        <f>Table5[[#This Row],[$PerTB]]/CompareWarrYrs</f>
        <v>8.8154000000000003</v>
      </c>
      <c r="AB122" s="134" t="s">
        <v>39</v>
      </c>
    </row>
    <row r="123" spans="1:28" ht="15.75" thickBot="1">
      <c r="A123" s="7"/>
      <c r="B123" s="7"/>
      <c r="C123" s="7"/>
      <c r="D123" s="14" t="s">
        <v>23</v>
      </c>
      <c r="E123" s="112">
        <f>MIN(Table5[FormFactor])</f>
        <v>2.5</v>
      </c>
      <c r="F123" s="64">
        <f>MIN(Table5[SizTB])</f>
        <v>0.6</v>
      </c>
      <c r="G123" s="69"/>
      <c r="H123" s="15">
        <f>MIN(Table5[AvgLatency])</f>
        <v>1.99</v>
      </c>
      <c r="I123" s="15">
        <f>MIN(Table5[SeekT])</f>
        <v>2.9</v>
      </c>
      <c r="J123" s="17"/>
      <c r="K123" s="70">
        <f>MIN(Table5[XferRate])</f>
        <v>99</v>
      </c>
      <c r="L123" s="56">
        <f>MIN(Table5[S])</f>
        <v>2</v>
      </c>
      <c r="M123" s="43">
        <f>MIN(Table5[CycleCnt])</f>
        <v>300000</v>
      </c>
      <c r="N123" s="15">
        <f>MIN(Table5[WorkLoad])</f>
        <v>55</v>
      </c>
      <c r="O123" s="43">
        <f>MIN(Table5[MTBF])</f>
        <v>500000</v>
      </c>
      <c r="P123" s="53">
        <f>MIN(P3:P122)</f>
        <v>100000000000000</v>
      </c>
      <c r="Q123" s="60">
        <f>MIN(Table5[MaxStartupWatts])</f>
        <v>4.5</v>
      </c>
      <c r="R123" s="15">
        <f>MIN(R3:R122)</f>
        <v>1.4</v>
      </c>
      <c r="S123" s="15">
        <f>MIN(S3:S122)</f>
        <v>0.45</v>
      </c>
      <c r="T123" s="142">
        <f>MIN(T3:T122)</f>
        <v>0.1</v>
      </c>
      <c r="U123" s="149">
        <f>MIN(U3:U122)</f>
        <v>0</v>
      </c>
      <c r="V123" s="154">
        <f>MIN(V3:V122)</f>
        <v>0</v>
      </c>
      <c r="W123" s="160"/>
      <c r="X123" s="16">
        <f>MIN(X3:X122)</f>
        <v>0</v>
      </c>
      <c r="Y123" s="17"/>
      <c r="Z123" s="16">
        <f>MIN(Z3:Z122)</f>
        <v>0</v>
      </c>
      <c r="AA123" s="16">
        <f>MIN(AA3:AA122)</f>
        <v>0</v>
      </c>
    </row>
    <row r="124" spans="1:28" ht="15.75" thickBot="1">
      <c r="B124" s="4"/>
      <c r="D124" s="18" t="s">
        <v>36</v>
      </c>
      <c r="E124" s="113">
        <f>AVERAGE(Table5[FormFactor])</f>
        <v>3.3083333333333331</v>
      </c>
      <c r="F124" s="65">
        <f>AVERAGE(Table5[SizTB])</f>
        <v>4.776250000000001</v>
      </c>
      <c r="G124" s="71"/>
      <c r="H124" s="19">
        <f>AVERAGE(Table5[AvgLatency])</f>
        <v>4.1365151515151508</v>
      </c>
      <c r="I124" s="19">
        <f>AVERAGE(Table5[SeekT])</f>
        <v>9.1730555555555569</v>
      </c>
      <c r="J124" s="20"/>
      <c r="K124" s="72">
        <f>AVERAGE(Table5[XferRate])</f>
        <v>196.60194174757282</v>
      </c>
      <c r="L124" s="57">
        <f>AVERAGE(Table5[S])</f>
        <v>3.9249999999999998</v>
      </c>
      <c r="M124" s="44">
        <f>AVERAGE(Table5[CycleCnt])</f>
        <v>523255.81395348837</v>
      </c>
      <c r="N124" s="19">
        <f>AVERAGE(Table5[WorkLoad])</f>
        <v>346.93333333333334</v>
      </c>
      <c r="O124" s="44">
        <f>AVERAGE(O3:O122)</f>
        <v>1591250</v>
      </c>
      <c r="P124" s="54">
        <f>AVERAGE(P3:P122)</f>
        <v>4099056603773585</v>
      </c>
      <c r="Q124" s="61">
        <f>AVERAGE(Table5[MaxStartupWatts])</f>
        <v>19.458303030303032</v>
      </c>
      <c r="R124" s="19">
        <f>AVERAGE(R3:R122)</f>
        <v>6.5068224299065429</v>
      </c>
      <c r="S124" s="19">
        <f>AVERAGE(S3:S122)</f>
        <v>4.6118018018018017</v>
      </c>
      <c r="T124" s="143">
        <f>AVERAGE(T3:T122)</f>
        <v>0.67107692307692324</v>
      </c>
      <c r="U124" s="150">
        <f>AVERAGE(U3:U122)</f>
        <v>5.3796095245714293</v>
      </c>
      <c r="V124" s="155">
        <f>AVERAGE(V3:V122)</f>
        <v>1.8464617097052158</v>
      </c>
      <c r="W124" s="18"/>
      <c r="X124" s="21">
        <f>AVERAGE(X3:X122)</f>
        <v>53.398042361111081</v>
      </c>
      <c r="Y124" s="20"/>
      <c r="Z124" s="21">
        <f>AVERAGE(Z3:Z122)</f>
        <v>57.827186631944429</v>
      </c>
      <c r="AA124" s="21">
        <f>AVERAGE(AA3:AA122)</f>
        <v>11.565437326388887</v>
      </c>
    </row>
    <row r="125" spans="1:28" ht="15.75" thickBot="1">
      <c r="B125" s="4"/>
      <c r="D125" s="75" t="s">
        <v>22</v>
      </c>
      <c r="E125" s="114">
        <f>MEDIAN(Table5[FormFactor])</f>
        <v>3.5</v>
      </c>
      <c r="F125" s="65">
        <f>MEDIAN(Table5[SizTB])</f>
        <v>4</v>
      </c>
      <c r="G125" s="73"/>
      <c r="H125" s="19">
        <f>MEDIAN(Table5[AvgLatency])</f>
        <v>4.16</v>
      </c>
      <c r="I125" s="19">
        <f>MEDIAN(Table5[SeekT])</f>
        <v>9.25</v>
      </c>
      <c r="J125" s="22"/>
      <c r="K125" s="72">
        <f>MEDIAN(Table5[XferRate])</f>
        <v>202</v>
      </c>
      <c r="L125" s="57">
        <f>MEDIAN(Table5[S])</f>
        <v>5</v>
      </c>
      <c r="M125" s="44">
        <f>MEDIAN(Table5[CycleCnt])</f>
        <v>600000</v>
      </c>
      <c r="N125" s="19">
        <f>MEDIAN(Table5[WorkLoad])</f>
        <v>300</v>
      </c>
      <c r="O125" s="44">
        <f>MEDIAN(Table5[MTBF])</f>
        <v>1600000</v>
      </c>
      <c r="P125" s="54">
        <f>MEDIAN(P3:P122)</f>
        <v>1000000000000000</v>
      </c>
      <c r="Q125" s="61">
        <f>MEDIAN(Table5[MaxStartupWatts])</f>
        <v>21.6</v>
      </c>
      <c r="R125" s="19">
        <f>MEDIAN(R3:R122)</f>
        <v>7</v>
      </c>
      <c r="S125" s="19">
        <f>MEDIAN(S3:S122)</f>
        <v>5</v>
      </c>
      <c r="T125" s="143">
        <f>MEDIAN(T3:T122)</f>
        <v>0.6</v>
      </c>
      <c r="U125" s="150">
        <f>MEDIAN(U3:U122)</f>
        <v>5.9388024000000001</v>
      </c>
      <c r="V125" s="155">
        <f>MEDIAN(V3:V122)</f>
        <v>1.1760728</v>
      </c>
      <c r="W125" s="161"/>
      <c r="X125" s="21">
        <f>MEDIAN(X3:X122)</f>
        <v>42.246499999999997</v>
      </c>
      <c r="Y125" s="22"/>
      <c r="Z125" s="21">
        <f>MEDIAN(Z3:Z122)</f>
        <v>43.276670833333341</v>
      </c>
      <c r="AA125" s="21">
        <f>MEDIAN(AA3:AA122)</f>
        <v>8.6553341666666679</v>
      </c>
    </row>
    <row r="126" spans="1:28" ht="15.75" thickBot="1">
      <c r="B126" t="s">
        <v>106</v>
      </c>
      <c r="D126" s="18" t="s">
        <v>24</v>
      </c>
      <c r="E126" s="113">
        <f>MAX(Table5[FormFactor])</f>
        <v>3.5</v>
      </c>
      <c r="F126" s="65">
        <f>MAX(Table5[SizTB])</f>
        <v>14</v>
      </c>
      <c r="G126" s="71"/>
      <c r="H126" s="19">
        <f>MAX(Table5[AvgLatency])</f>
        <v>6</v>
      </c>
      <c r="I126" s="19">
        <f>MAX(Table5[SeekT])</f>
        <v>16</v>
      </c>
      <c r="J126" s="20"/>
      <c r="K126" s="72">
        <f>MAX(Table5[XferRate])</f>
        <v>270</v>
      </c>
      <c r="L126" s="57">
        <f>MAX(Table5[S])</f>
        <v>5</v>
      </c>
      <c r="M126" s="44">
        <f>MAX(Table5[CycleCnt])</f>
        <v>600000</v>
      </c>
      <c r="N126" s="19">
        <f>MAX(Table5[WorkLoad])</f>
        <v>550</v>
      </c>
      <c r="O126" s="44">
        <f>MAX(Table5[MTBF])</f>
        <v>2500000</v>
      </c>
      <c r="P126" s="54">
        <f>MAX(P3:P122)</f>
        <v>1E+17</v>
      </c>
      <c r="Q126" s="61">
        <f>MAX(Table5[MaxStartupWatts])</f>
        <v>30</v>
      </c>
      <c r="R126" s="19">
        <f>MAX(R3:R122)</f>
        <v>11</v>
      </c>
      <c r="S126" s="19">
        <f>MAX(S3:S122)</f>
        <v>8.1</v>
      </c>
      <c r="T126" s="143">
        <f>MAX(T3:T122)</f>
        <v>1.52</v>
      </c>
      <c r="U126" s="150">
        <f>MAX(U3:U122)</f>
        <v>9.1821336000000002</v>
      </c>
      <c r="V126" s="155">
        <f>MAX(V3:V122)</f>
        <v>11.212868</v>
      </c>
      <c r="W126" s="162"/>
      <c r="X126" s="21">
        <f>MAX(X3:X122)</f>
        <v>316.58333333333331</v>
      </c>
      <c r="Y126" s="20"/>
      <c r="Z126" s="21">
        <f>MAX(Z3:Z122)</f>
        <v>316.58333333333331</v>
      </c>
      <c r="AA126" s="21">
        <f>MAX(AA3:AA122)</f>
        <v>63.316666666666663</v>
      </c>
    </row>
    <row r="127" spans="1:28" ht="15.75" thickBot="1">
      <c r="D127" s="23" t="s">
        <v>40</v>
      </c>
      <c r="E127" s="55">
        <f>COUNT(Table5[FormFactor])</f>
        <v>120</v>
      </c>
      <c r="F127" s="55">
        <f>COUNT(Table5[SizTB])</f>
        <v>120</v>
      </c>
      <c r="G127" s="74"/>
      <c r="H127" s="24">
        <f>COUNT(Table5[AvgLatency])</f>
        <v>66</v>
      </c>
      <c r="I127" s="24">
        <f>COUNT(Table5[SeekT])</f>
        <v>36</v>
      </c>
      <c r="J127" s="25"/>
      <c r="K127" s="63">
        <f>COUNT(Table5[XferRate])</f>
        <v>103</v>
      </c>
      <c r="L127" s="58">
        <f>COUNT(Table5[S])</f>
        <v>120</v>
      </c>
      <c r="M127" s="24">
        <f>COUNT(Table5[CycleCnt])</f>
        <v>86</v>
      </c>
      <c r="N127" s="24">
        <f>COUNT(Table5[WorkLoad])</f>
        <v>75</v>
      </c>
      <c r="O127" s="24">
        <f>COUNT(Table5[MTBF])</f>
        <v>80</v>
      </c>
      <c r="P127" s="55">
        <f>COUNT(Table5[RErrRate])</f>
        <v>106</v>
      </c>
      <c r="Q127" s="62">
        <f>COUNT(Table5[MaxStartupWatts])</f>
        <v>66</v>
      </c>
      <c r="R127" s="24">
        <f>COUNT(Table5[Watts Active])</f>
        <v>107</v>
      </c>
      <c r="S127" s="24">
        <f>COUNT(Table5[Watts Idle])</f>
        <v>111</v>
      </c>
      <c r="T127" s="55">
        <f>COUNT(Table5[WattsStandby])</f>
        <v>65</v>
      </c>
      <c r="U127" s="151">
        <f>COUNT(Table5[Energy$year])</f>
        <v>105</v>
      </c>
      <c r="V127" s="55">
        <f>COUNT(Table5[Energy$yearPerTB])</f>
        <v>105</v>
      </c>
      <c r="W127" s="163"/>
      <c r="X127" s="24">
        <f>COUNT(Table5[$ TB])</f>
        <v>120</v>
      </c>
      <c r="Y127" s="24"/>
      <c r="Z127" s="24">
        <f>COUNT(Table5[$PerTB])</f>
        <v>120</v>
      </c>
      <c r="AA127" s="24">
        <f>COUNTA(Table5[$ TB/year])</f>
        <v>120</v>
      </c>
    </row>
    <row r="130" spans="1:9" ht="15.75" thickBot="1"/>
    <row r="131" spans="1:9" ht="15.75" thickBot="1">
      <c r="A131" s="166" t="s">
        <v>25</v>
      </c>
      <c r="B131" s="167"/>
      <c r="C131" s="180"/>
      <c r="D131" s="181"/>
      <c r="E131" s="110"/>
    </row>
    <row r="132" spans="1:9" ht="15.75" thickBot="1">
      <c r="A132" s="168">
        <f>MAX(Table5[Date])</f>
        <v>43053</v>
      </c>
      <c r="B132" s="169"/>
      <c r="C132" s="27" t="s">
        <v>19</v>
      </c>
      <c r="D132" s="35">
        <v>0.125</v>
      </c>
      <c r="E132" s="115"/>
      <c r="G132" s="30"/>
      <c r="H132" s="30"/>
      <c r="I132" s="30"/>
    </row>
    <row r="133" spans="1:9" ht="15.75" thickBot="1">
      <c r="C133" s="27" t="s">
        <v>29</v>
      </c>
      <c r="D133" s="28">
        <v>0.2</v>
      </c>
      <c r="E133" s="116"/>
      <c r="G133" s="31"/>
      <c r="H133" s="31"/>
      <c r="I133" s="31"/>
    </row>
    <row r="134" spans="1:9" ht="15.75" thickBot="1">
      <c r="A134" s="166" t="s">
        <v>70</v>
      </c>
      <c r="B134" s="167"/>
      <c r="C134" s="27" t="s">
        <v>35</v>
      </c>
      <c r="D134" s="29">
        <v>5</v>
      </c>
      <c r="E134" s="4"/>
      <c r="G134" s="32"/>
      <c r="H134" s="32"/>
      <c r="I134" s="32"/>
    </row>
    <row r="135" spans="1:9" ht="15.75" thickBot="1">
      <c r="A135" s="164">
        <f>MIN(Table5[Date])</f>
        <v>43001</v>
      </c>
      <c r="B135" s="165"/>
      <c r="C135" s="27" t="s">
        <v>47</v>
      </c>
      <c r="D135" s="28">
        <v>0.11</v>
      </c>
      <c r="E135" s="116"/>
      <c r="G135" s="31"/>
      <c r="H135" s="31"/>
      <c r="I135" s="31"/>
    </row>
    <row r="136" spans="1:9" ht="15.75" thickBot="1">
      <c r="C136" s="27" t="s">
        <v>30</v>
      </c>
      <c r="D136" s="34">
        <f>365.24*Hours_In_Day</f>
        <v>8765.76</v>
      </c>
      <c r="E136" s="32"/>
    </row>
    <row r="137" spans="1:9" ht="15.75" thickBot="1">
      <c r="C137" s="27" t="s">
        <v>53</v>
      </c>
      <c r="D137" s="29">
        <v>24</v>
      </c>
      <c r="E137" s="4"/>
      <c r="G137" s="32"/>
      <c r="H137" s="32"/>
      <c r="I137" s="32"/>
    </row>
    <row r="138" spans="1:9" ht="15.75" thickBot="1">
      <c r="C138" s="27" t="s">
        <v>55</v>
      </c>
      <c r="D138" s="29">
        <f>Days_In_Month*Hours_In_Day</f>
        <v>730.48</v>
      </c>
      <c r="E138" s="4"/>
      <c r="G138" s="32"/>
      <c r="H138" s="32"/>
      <c r="I138" s="32"/>
    </row>
    <row r="139" spans="1:9" ht="15.75" thickBot="1">
      <c r="C139" s="27" t="s">
        <v>52</v>
      </c>
      <c r="D139" s="29">
        <f>Days_in_Year/Months_In_Year</f>
        <v>30.436666666666667</v>
      </c>
      <c r="E139" s="4"/>
    </row>
    <row r="140" spans="1:9" ht="15.75" thickBot="1">
      <c r="C140" s="27" t="s">
        <v>58</v>
      </c>
      <c r="D140" s="29">
        <v>365.24</v>
      </c>
      <c r="E140" s="4"/>
    </row>
    <row r="141" spans="1:9" ht="15.75" thickBot="1">
      <c r="C141" s="27" t="s">
        <v>54</v>
      </c>
      <c r="D141" s="29">
        <v>12</v>
      </c>
      <c r="E141" s="4"/>
      <c r="G141" s="32"/>
      <c r="H141" s="32"/>
      <c r="I141" s="32"/>
    </row>
    <row r="142" spans="1:9">
      <c r="C142" s="4"/>
    </row>
    <row r="143" spans="1:9">
      <c r="A143" s="132" t="s">
        <v>41</v>
      </c>
    </row>
  </sheetData>
  <sortState ref="A2:S61">
    <sortCondition ref="B2:B61"/>
    <sortCondition ref="C2:C61"/>
    <sortCondition ref="G2:G61"/>
  </sortState>
  <mergeCells count="11">
    <mergeCell ref="A135:B135"/>
    <mergeCell ref="A134:B134"/>
    <mergeCell ref="A132:B132"/>
    <mergeCell ref="Y1:AA1"/>
    <mergeCell ref="W1:X1"/>
    <mergeCell ref="L1:P1"/>
    <mergeCell ref="Q1:V1"/>
    <mergeCell ref="C131:D131"/>
    <mergeCell ref="A131:B131"/>
    <mergeCell ref="G1:K1"/>
    <mergeCell ref="A1:F1"/>
  </mergeCells>
  <conditionalFormatting sqref="X3:X122">
    <cfRule type="top10" dxfId="2" priority="541" bottom="1" rank="20"/>
  </conditionalFormatting>
  <conditionalFormatting sqref="AA3:AA122">
    <cfRule type="top10" dxfId="1" priority="543" bottom="1" rank="20"/>
  </conditionalFormatting>
  <conditionalFormatting sqref="V3:V122">
    <cfRule type="aboveAverage" dxfId="0" priority="545" aboveAverage="0"/>
  </conditionalFormatting>
  <conditionalFormatting sqref="U3:V122">
    <cfRule type="colorScale" priority="547">
      <colorScale>
        <cfvo type="min"/>
        <cfvo type="formula" val="$U$124"/>
        <cfvo type="max"/>
        <color theme="9"/>
        <color rgb="FFFFEB84"/>
        <color theme="5"/>
      </colorScale>
    </cfRule>
  </conditionalFormatting>
  <hyperlinks>
    <hyperlink ref="C21" r:id="rId1"/>
    <hyperlink ref="C3" r:id="rId2"/>
    <hyperlink ref="C4:C6" r:id="rId3" display="Deskstar NAS"/>
    <hyperlink ref="C15" r:id="rId4"/>
    <hyperlink ref="C14" r:id="rId5"/>
    <hyperlink ref="C16" r:id="rId6"/>
    <hyperlink ref="C9:C12" r:id="rId7" display="Ultrastar 7K6"/>
    <hyperlink ref="C89:C92" r:id="rId8" display="Black"/>
    <hyperlink ref="C31:C36" r:id="rId9" location="pro-specs" display="BarraCuda Pro"/>
    <hyperlink ref="C22:C30" r:id="rId10" location="specs-3-5" display="BarraCuda"/>
    <hyperlink ref="C45:C49" r:id="rId11" display="Exos 7E8"/>
    <hyperlink ref="C39" r:id="rId12"/>
    <hyperlink ref="C37:C38" r:id="rId13" display="Exos 10E2400"/>
    <hyperlink ref="C50:C51" r:id="rId14" display="Exos X10"/>
    <hyperlink ref="C52" r:id="rId15"/>
    <hyperlink ref="C40" r:id="rId16" location="exos-5e8"/>
    <hyperlink ref="C100:C106" r:id="rId17" display="Gold Enterprise"/>
    <hyperlink ref="C117:C122" r:id="rId18" display="RED NAS Pro"/>
    <hyperlink ref="C109:C116" r:id="rId19" display="Red NAS"/>
    <hyperlink ref="C93:C99" r:id="rId20" display="Blue"/>
    <hyperlink ref="C98:C99" r:id="rId21" display="Blue"/>
    <hyperlink ref="C87" r:id="rId22"/>
    <hyperlink ref="C57:C63" r:id="rId23" location="specs" display="IronWolf"/>
    <hyperlink ref="C65:C69" r:id="rId24" location="pro-specs" display="IronWolf Pro"/>
    <hyperlink ref="C71" r:id="rId25"/>
    <hyperlink ref="C53:C54" r:id="rId26" location="3-5-inch-specs" display="FireCuda SSHD"/>
    <hyperlink ref="C55:C56" r:id="rId27" location="2-5-inch-specs" display="FireCuda SSHD"/>
    <hyperlink ref="A143" r:id="rId28"/>
    <hyperlink ref="AB115:AB116" r:id="rId29" display="Helium filled"/>
    <hyperlink ref="AB104:AB106" r:id="rId30" display="Helium filled"/>
    <hyperlink ref="AB121:AB122" r:id="rId31" display="Helium filled"/>
    <hyperlink ref="AB17:AB20" r:id="rId32" display="Helium filled"/>
    <hyperlink ref="AB13" r:id="rId33"/>
    <hyperlink ref="AB21" r:id="rId34"/>
    <hyperlink ref="C20" r:id="rId35"/>
    <hyperlink ref="C19" r:id="rId36"/>
    <hyperlink ref="C7" r:id="rId37"/>
    <hyperlink ref="C8" r:id="rId38"/>
    <hyperlink ref="C77:C79" r:id="rId39" display="N300"/>
    <hyperlink ref="C83:C86" r:id="rId40" display="X300"/>
    <hyperlink ref="C80:C82" r:id="rId41" display="P300"/>
    <hyperlink ref="C88" r:id="rId42"/>
    <hyperlink ref="C107:C108" r:id="rId43" display="Red NAS"/>
    <hyperlink ref="C72" r:id="rId44"/>
    <hyperlink ref="C73:C74" r:id="rId45" display="Enterprise Capacity"/>
    <hyperlink ref="C75" r:id="rId46"/>
    <hyperlink ref="C76" r:id="rId47"/>
    <hyperlink ref="C64" r:id="rId48" location="pro-specs"/>
    <hyperlink ref="C70" r:id="rId49" location="pro-specs"/>
    <hyperlink ref="W87" r:id="rId50" display="https://www.newegg.com/Product/Product.aspx?Item=9SIA5AD5YN7412&amp;utm_medium=Email&amp;utm_source=GD110617&amp;cm_mmc=EMC-GD110617-_-landing-_-Item-_-9SIA5AD5YN7412"/>
    <hyperlink ref="W93" r:id="rId51" display="https://www.newegg.com/Product/Product.aspx?Item=22-236-339&amp;utm_medium=Email&amp;utm_source=GD110617&amp;cm_mmc=EMC-GD110617-_-landing-_-Item-_-22-236-339"/>
    <hyperlink ref="W112" r:id="rId52" display="https://www.newegg.com/Product/Product.aspx?item=N82E16822236599"/>
    <hyperlink ref="W111" r:id="rId53" display="https://www.newegg.com/Product/Product.aspx?item=N82E16822236344"/>
    <hyperlink ref="W79" r:id="rId54" display="https://www.newegg.com/Product/Product.aspx?Item=N82E16822149695&amp;utm_medium=Email&amp;utm_source=IGNEFL110717&amp;cm_mmc=EMC-IGNEFL110717-_-EMC-110717-Index-_-DesktopInternalHardDrives-_-22149695-S1A2C&amp;ignorebbr=1"/>
    <hyperlink ref="W78" r:id="rId55" display="https://www.newegg.com/Product/Product.aspx?item=N82E16822149696"/>
    <hyperlink ref="W77" r:id="rId56" display="https://www.newegg.com/Product/Product.aspx?item=N82E16822149697"/>
    <hyperlink ref="W8" r:id="rId57" display="https://www.newegg.com/Product/Product.aspx?Item=22-145-881&amp;utm_medium=Email&amp;utm_source=GD110817&amp;cm_mmc=EMC-GD110817-_-landing-_-Item-_-22-145-881"/>
    <hyperlink ref="W14" r:id="rId58" display="https://www.newegg.com/Product/Product.aspx?Item=9SIA99462P4004"/>
    <hyperlink ref="W15" r:id="rId59" display="https://www.newegg.com/Product/Product.aspx?Item=9SIA99469N9136"/>
    <hyperlink ref="W16" r:id="rId60" display="https://www.newegg.com/Product/Product.aspx?Item=9SIA75M5XX1494"/>
    <hyperlink ref="W58" r:id="rId61" display="https://www.newegg.com/Product/Product.aspx?item=N82E16822179007"/>
    <hyperlink ref="AB16" r:id="rId62"/>
    <hyperlink ref="AB18" r:id="rId63"/>
    <hyperlink ref="AB103" r:id="rId64" display="http://www.tomsitpro.com/articles/wd-hgst-8tb-hdd-gold,1-3248.html"/>
    <hyperlink ref="C13" r:id="rId65"/>
    <hyperlink ref="C17" r:id="rId66"/>
    <hyperlink ref="W17" r:id="rId67" display="https://www.goharddrive.com/HGST-Ultrastar-HE6-HUS726060ALA640-6TB-HDD-p/g01-1073.htm"/>
    <hyperlink ref="W92" r:id="rId68" display="https://www.newegg.com/Product/Product.aspx?Item=N82E16822235281&amp;utm_medium=Email&amp;utm_source=IGNEFL111417&amp;cm_mmc=EMC-IGNEFL111417-_-EMC-111417-Index-_-DesktopInternalHardDrives-_-22235281-S0&amp;ignorebbr=1"/>
    <hyperlink ref="W90" r:id="rId69" display="https://www.newegg.com/Product/Product.aspx?item=N82E16822236624"/>
    <hyperlink ref="W89" r:id="rId70" display="https://www.newegg.com/Product/Product.aspx?item=N82E16822236625"/>
    <hyperlink ref="W91" r:id="rId71" display="https://www.newegg.com/Product/Product.aspx?item=N82E16822235128"/>
    <hyperlink ref="W98" r:id="rId72" display="https://www.newegg.com/Product/Product.aspx?item=N82E16822236496"/>
    <hyperlink ref="W99" r:id="rId73" display="https://www.newegg.com/Product/Product.aspx?item=1B0-0020-000G1"/>
    <hyperlink ref="W108" r:id="rId74" display="https://www.newegg.com/Product/Product.aspx?item=N82E16822236600"/>
    <hyperlink ref="W107" r:id="rId75" display="https://www.newegg.com/Product/Product.aspx?item=N82E16822236601"/>
    <hyperlink ref="W68" r:id="rId76" display="https://www.newegg.com/Product/Product.aspx?item=N82E16822179131"/>
    <hyperlink ref="W69" r:id="rId77" display="https://www.newegg.com/Product/Product.aspx?item=N82E16822179103"/>
    <hyperlink ref="W70" r:id="rId78" display="https://www.newegg.com/Product/Product.aspx?item=N82E16822172026"/>
    <hyperlink ref="W67" r:id="rId79" display="https://www.newegg.com/Product/Product.aspx?item=N82E16822179100"/>
    <hyperlink ref="W66" r:id="rId80" display="https://www.newegg.com/Product/Product.aspx?item=N82E16822179101"/>
    <hyperlink ref="W65" r:id="rId81" display="https://www.newegg.com/Product/Product.aspx?item=N82E16822179102"/>
    <hyperlink ref="W63" r:id="rId82" display="https://www.newegg.com/Product/Product.aspx?Item=N82E16822178997"/>
    <hyperlink ref="W64" r:id="rId83" display="https://www.newegg.com/Product/Product.aspx?item=N82E16822172025"/>
    <hyperlink ref="W62" r:id="rId84" display="https://www.newegg.com/Product/Product.aspx?item=N82E16822179003"/>
    <hyperlink ref="W61" r:id="rId85" display="https://www.newegg.com/Product/Product.aspx?item=N82E16822179004"/>
    <hyperlink ref="W60" r:id="rId86" display="https://www.newegg.com/Product/Product.aspx?item=N82E16822179004"/>
    <hyperlink ref="W59" r:id="rId87" display="https://www.newegg.com/Product/Product.aspx?item=N82E16822179006"/>
    <hyperlink ref="W57" r:id="rId88" display="https://www.newegg.com/Product/Product.aspx?item=N82E16822179008"/>
    <hyperlink ref="W12" r:id="rId89" display="https://www.newegg.com/Product/Product.aspx?item=N82E16822146076"/>
    <hyperlink ref="W10" r:id="rId90" display="https://www.newegg.com/Product/Product.aspx?item=N82E16822146071"/>
    <hyperlink ref="W9" r:id="rId91" display="https://www.newegg.com/Product/Product.aspx?item=N82E16822146067"/>
    <hyperlink ref="W11" r:id="rId92" display="https://www.newegg.com/Product/Product.aspx?Item=9SIA25V4XG7457&amp;cm_re=Ultrastar_7K6000_5tb-_-9SIA25V4XG7457-_-Product"/>
  </hyperlinks>
  <printOptions headings="1"/>
  <pageMargins left="0.3" right="0.3" top="0.75" bottom="0.75" header="0.3" footer="0.3"/>
  <pageSetup scale="44" fitToHeight="4" orientation="landscape" r:id="rId93"/>
  <headerFooter>
    <oddHeader>&amp;CDisk Price
Performance Analysis</oddHeader>
    <oddFooter>&amp;L&amp;F&amp;C&amp;P / &amp;N&amp;R&amp;D &amp;T</oddFooter>
  </headerFooter>
  <cellWatches>
    <cellWatch r="AA3"/>
  </cellWatches>
  <ignoredErrors>
    <ignoredError sqref="Q63 Q119 Q123:Q126" formula="1"/>
  </ignoredErrors>
  <drawing r:id="rId94"/>
  <legacyDrawing r:id="rId95"/>
  <tableParts count="1">
    <tablePart r:id="rId9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3"/>
  <sheetViews>
    <sheetView topLeftCell="A70" zoomScaleNormal="100" workbookViewId="0">
      <selection activeCell="E95" sqref="E95"/>
    </sheetView>
  </sheetViews>
  <sheetFormatPr defaultRowHeight="15"/>
  <cols>
    <col min="1" max="1" width="15.42578125" customWidth="1"/>
    <col min="2" max="2" width="19.5703125" customWidth="1"/>
    <col min="3" max="3" width="11.28515625" customWidth="1"/>
    <col min="4" max="4" width="13.140625" customWidth="1"/>
    <col min="5" max="5" width="17.42578125" customWidth="1"/>
    <col min="6" max="6" width="13.85546875" customWidth="1"/>
    <col min="7" max="7" width="9" customWidth="1"/>
    <col min="8" max="8" width="8" customWidth="1"/>
    <col min="9" max="9" width="10" customWidth="1"/>
    <col min="10" max="10" width="7" customWidth="1"/>
    <col min="11" max="11" width="11" customWidth="1"/>
    <col min="12" max="12" width="10" customWidth="1"/>
    <col min="13" max="13" width="8" customWidth="1"/>
    <col min="14" max="16" width="10" bestFit="1" customWidth="1"/>
    <col min="17" max="18" width="11" bestFit="1" customWidth="1"/>
    <col min="19" max="19" width="10" bestFit="1" customWidth="1"/>
    <col min="20" max="20" width="9" customWidth="1"/>
    <col min="21" max="21" width="11" bestFit="1" customWidth="1"/>
    <col min="22" max="22" width="10" bestFit="1" customWidth="1"/>
    <col min="23" max="24" width="11" bestFit="1" customWidth="1"/>
    <col min="25" max="26" width="10" bestFit="1" customWidth="1"/>
    <col min="27" max="27" width="9" customWidth="1"/>
    <col min="28" max="29" width="10" bestFit="1" customWidth="1"/>
    <col min="30" max="30" width="11" bestFit="1" customWidth="1"/>
    <col min="31" max="31" width="7" customWidth="1"/>
    <col min="32" max="32" width="9" customWidth="1"/>
    <col min="33" max="33" width="10" bestFit="1" customWidth="1"/>
    <col min="34" max="34" width="11" bestFit="1" customWidth="1"/>
    <col min="35" max="36" width="10" bestFit="1" customWidth="1"/>
    <col min="37" max="37" width="9" customWidth="1"/>
    <col min="38" max="40" width="10" bestFit="1" customWidth="1"/>
    <col min="41" max="41" width="8" customWidth="1"/>
    <col min="42" max="44" width="10" bestFit="1" customWidth="1"/>
    <col min="45" max="45" width="9" customWidth="1"/>
    <col min="46" max="56" width="10" bestFit="1" customWidth="1"/>
    <col min="57" max="57" width="9" customWidth="1"/>
    <col min="58" max="59" width="10" bestFit="1" customWidth="1"/>
    <col min="60" max="60" width="9" customWidth="1"/>
    <col min="61" max="61" width="7" customWidth="1"/>
    <col min="62" max="64" width="10" bestFit="1" customWidth="1"/>
    <col min="65" max="65" width="11" bestFit="1" customWidth="1"/>
    <col min="66" max="67" width="10" bestFit="1" customWidth="1"/>
    <col min="68" max="68" width="9" customWidth="1"/>
    <col min="69" max="71" width="10" bestFit="1" customWidth="1"/>
    <col min="72" max="72" width="7.28515625" customWidth="1"/>
    <col min="73" max="73" width="11.28515625" bestFit="1" customWidth="1"/>
  </cols>
  <sheetData>
    <row r="2" spans="1:4">
      <c r="A2" s="99" t="s">
        <v>50</v>
      </c>
      <c r="B2" s="100" t="s">
        <v>51</v>
      </c>
    </row>
    <row r="3" spans="1:4">
      <c r="A3" s="99" t="s">
        <v>89</v>
      </c>
      <c r="B3" s="120">
        <v>3.5</v>
      </c>
    </row>
    <row r="4" spans="1:4">
      <c r="A4" s="188" t="s">
        <v>86</v>
      </c>
      <c r="B4" s="189"/>
    </row>
    <row r="5" spans="1:4">
      <c r="A5" s="103" t="s">
        <v>79</v>
      </c>
      <c r="B5" s="104" t="s">
        <v>84</v>
      </c>
    </row>
    <row r="6" spans="1:4">
      <c r="A6" s="102">
        <v>0.9</v>
      </c>
      <c r="B6" s="101">
        <v>0</v>
      </c>
    </row>
    <row r="7" spans="1:4">
      <c r="A7" s="102">
        <v>1</v>
      </c>
      <c r="B7" s="101">
        <v>12.693232800000001</v>
      </c>
    </row>
    <row r="8" spans="1:4">
      <c r="A8" s="102">
        <v>2</v>
      </c>
      <c r="B8" s="101">
        <v>14.799819999999999</v>
      </c>
    </row>
    <row r="9" spans="1:4">
      <c r="A9" s="102">
        <v>3</v>
      </c>
      <c r="B9" s="101">
        <v>8.295186666666666</v>
      </c>
    </row>
    <row r="10" spans="1:4">
      <c r="A10" s="102">
        <v>4</v>
      </c>
      <c r="B10" s="101">
        <v>9.2305838888888907</v>
      </c>
      <c r="D10" s="97"/>
    </row>
    <row r="11" spans="1:4">
      <c r="A11" s="102">
        <v>5</v>
      </c>
      <c r="B11" s="101">
        <v>14.0212</v>
      </c>
    </row>
    <row r="12" spans="1:4">
      <c r="A12" s="102">
        <v>6</v>
      </c>
      <c r="B12" s="101">
        <v>8.0426636363636366</v>
      </c>
    </row>
    <row r="13" spans="1:4">
      <c r="A13" s="102">
        <v>8</v>
      </c>
      <c r="B13" s="101">
        <v>7.6685169999999996</v>
      </c>
    </row>
    <row r="14" spans="1:4">
      <c r="A14" s="102">
        <v>10</v>
      </c>
      <c r="B14" s="101">
        <v>6.8542585000000003</v>
      </c>
    </row>
    <row r="15" spans="1:4">
      <c r="A15" s="102">
        <v>12</v>
      </c>
      <c r="B15" s="101">
        <v>8.7722333333333342</v>
      </c>
    </row>
    <row r="16" spans="1:4">
      <c r="A16" s="105" t="s">
        <v>85</v>
      </c>
      <c r="B16" s="101">
        <v>9.4003681475409842</v>
      </c>
    </row>
    <row r="20" spans="1:2">
      <c r="A20" s="99" t="s">
        <v>50</v>
      </c>
      <c r="B20" s="100" t="s">
        <v>51</v>
      </c>
    </row>
    <row r="21" spans="1:2">
      <c r="A21" s="99" t="s">
        <v>89</v>
      </c>
      <c r="B21" s="120">
        <v>3.5</v>
      </c>
    </row>
    <row r="22" spans="1:2">
      <c r="A22" s="193" t="s">
        <v>95</v>
      </c>
      <c r="B22" s="194"/>
    </row>
    <row r="23" spans="1:2">
      <c r="A23" s="99" t="s">
        <v>79</v>
      </c>
      <c r="B23" s="100" t="s">
        <v>87</v>
      </c>
    </row>
    <row r="24" spans="1:2">
      <c r="A24" s="102">
        <v>0.9</v>
      </c>
      <c r="B24" s="108">
        <v>7.4021973333333335</v>
      </c>
    </row>
    <row r="25" spans="1:2">
      <c r="A25" s="102">
        <v>1</v>
      </c>
      <c r="B25" s="108">
        <v>3.5444350560000002</v>
      </c>
    </row>
    <row r="26" spans="1:2">
      <c r="A26" s="102">
        <v>2</v>
      </c>
      <c r="B26" s="108">
        <v>2.4965980200000004</v>
      </c>
    </row>
    <row r="27" spans="1:2">
      <c r="A27" s="102">
        <v>3</v>
      </c>
      <c r="B27" s="108">
        <v>1.789676</v>
      </c>
    </row>
    <row r="28" spans="1:2">
      <c r="A28" s="102">
        <v>4</v>
      </c>
      <c r="B28" s="108">
        <v>1.6106475266666669</v>
      </c>
    </row>
    <row r="29" spans="1:2">
      <c r="A29" s="102">
        <v>5</v>
      </c>
      <c r="B29" s="108">
        <v>1.4112873600000002</v>
      </c>
    </row>
    <row r="30" spans="1:2">
      <c r="A30" s="102">
        <v>6</v>
      </c>
      <c r="B30" s="108">
        <v>1.1997469927272728</v>
      </c>
    </row>
    <row r="31" spans="1:2">
      <c r="A31" s="102">
        <v>8</v>
      </c>
      <c r="B31" s="108">
        <v>0.85959234000000007</v>
      </c>
    </row>
    <row r="32" spans="1:2">
      <c r="A32" s="102">
        <v>10</v>
      </c>
      <c r="B32" s="108">
        <v>0.57497907000000004</v>
      </c>
    </row>
    <row r="33" spans="1:2">
      <c r="A33" s="102">
        <v>12</v>
      </c>
      <c r="B33" s="108">
        <v>0.50695312000000003</v>
      </c>
    </row>
    <row r="34" spans="1:2">
      <c r="A34" s="120" t="s">
        <v>88</v>
      </c>
      <c r="B34" s="108">
        <v>1.5575176678306883</v>
      </c>
    </row>
    <row r="38" spans="1:2">
      <c r="A38" s="99" t="s">
        <v>50</v>
      </c>
      <c r="B38" s="100" t="s">
        <v>51</v>
      </c>
    </row>
    <row r="39" spans="1:2">
      <c r="A39" s="99" t="s">
        <v>89</v>
      </c>
      <c r="B39" s="120">
        <v>3.5</v>
      </c>
    </row>
    <row r="40" spans="1:2">
      <c r="A40" s="191" t="s">
        <v>97</v>
      </c>
      <c r="B40" s="192"/>
    </row>
    <row r="41" spans="1:2">
      <c r="A41" s="99" t="s">
        <v>79</v>
      </c>
      <c r="B41" s="100" t="s">
        <v>96</v>
      </c>
    </row>
    <row r="42" spans="1:2">
      <c r="A42" s="102">
        <v>0.9</v>
      </c>
      <c r="B42" s="108">
        <v>6.6619776000000002</v>
      </c>
    </row>
    <row r="43" spans="1:2">
      <c r="A43" s="102">
        <v>1</v>
      </c>
      <c r="B43" s="108">
        <v>3.5444350560000002</v>
      </c>
    </row>
    <row r="44" spans="1:2">
      <c r="A44" s="102">
        <v>2</v>
      </c>
      <c r="B44" s="108">
        <v>4.9931960400000008</v>
      </c>
    </row>
    <row r="45" spans="1:2">
      <c r="A45" s="102">
        <v>3</v>
      </c>
      <c r="B45" s="108">
        <v>5.3690280000000001</v>
      </c>
    </row>
    <row r="46" spans="1:2">
      <c r="A46" s="102">
        <v>4</v>
      </c>
      <c r="B46" s="108">
        <v>6.4425901066666675</v>
      </c>
    </row>
    <row r="47" spans="1:2">
      <c r="A47" s="102">
        <v>5</v>
      </c>
      <c r="B47" s="108">
        <v>7.0564368000000002</v>
      </c>
    </row>
    <row r="48" spans="1:2">
      <c r="A48" s="102">
        <v>6</v>
      </c>
      <c r="B48" s="108">
        <v>7.1984819563636364</v>
      </c>
    </row>
    <row r="49" spans="1:3">
      <c r="A49" s="102">
        <v>8</v>
      </c>
      <c r="B49" s="108">
        <v>6.8767387200000005</v>
      </c>
    </row>
    <row r="50" spans="1:3">
      <c r="A50" s="102">
        <v>10</v>
      </c>
      <c r="B50" s="108">
        <v>5.7497907000000001</v>
      </c>
    </row>
    <row r="51" spans="1:3">
      <c r="A51" s="102">
        <v>12</v>
      </c>
      <c r="B51" s="108">
        <v>6.08343744</v>
      </c>
    </row>
    <row r="52" spans="1:3">
      <c r="A52" s="120" t="s">
        <v>88</v>
      </c>
      <c r="B52" s="108">
        <v>6.0945337790476186</v>
      </c>
    </row>
    <row r="57" spans="1:3">
      <c r="A57" s="106" t="s">
        <v>50</v>
      </c>
      <c r="B57" t="s">
        <v>51</v>
      </c>
    </row>
    <row r="58" spans="1:3">
      <c r="A58" s="106" t="s">
        <v>89</v>
      </c>
      <c r="B58" s="107">
        <v>3.5</v>
      </c>
      <c r="C58" s="119"/>
    </row>
    <row r="59" spans="1:3">
      <c r="A59" s="190" t="s">
        <v>100</v>
      </c>
      <c r="B59" s="190"/>
    </row>
    <row r="60" spans="1:3">
      <c r="A60" s="106" t="s">
        <v>79</v>
      </c>
      <c r="B60" t="s">
        <v>99</v>
      </c>
    </row>
    <row r="61" spans="1:3">
      <c r="A61" s="121">
        <v>5400</v>
      </c>
      <c r="B61" s="92">
        <v>48.634829791666675</v>
      </c>
    </row>
    <row r="62" spans="1:3">
      <c r="A62" s="122" t="s">
        <v>6</v>
      </c>
      <c r="B62" s="92">
        <v>48.634829791666675</v>
      </c>
    </row>
    <row r="63" spans="1:3">
      <c r="A63" s="121">
        <v>5760</v>
      </c>
      <c r="B63" s="92">
        <v>32.531300000000002</v>
      </c>
    </row>
    <row r="64" spans="1:3">
      <c r="A64" s="122" t="s">
        <v>6</v>
      </c>
      <c r="B64" s="92">
        <v>32.531300000000002</v>
      </c>
    </row>
    <row r="65" spans="1:2">
      <c r="A65" s="121">
        <v>5900</v>
      </c>
      <c r="B65" s="92">
        <v>50.673350666666664</v>
      </c>
    </row>
    <row r="66" spans="1:2">
      <c r="A66" s="122" t="s">
        <v>10</v>
      </c>
      <c r="B66" s="92">
        <v>50.673350666666664</v>
      </c>
    </row>
    <row r="67" spans="1:2">
      <c r="A67" s="121">
        <v>7200</v>
      </c>
      <c r="B67" s="92">
        <v>47.717078717948702</v>
      </c>
    </row>
    <row r="68" spans="1:2">
      <c r="A68" s="122" t="s">
        <v>15</v>
      </c>
      <c r="B68" s="92">
        <v>46.453544166666667</v>
      </c>
    </row>
    <row r="69" spans="1:2">
      <c r="A69" s="122" t="s">
        <v>10</v>
      </c>
      <c r="B69" s="92">
        <v>51.004262750000002</v>
      </c>
    </row>
    <row r="70" spans="1:2">
      <c r="A70" s="122" t="s">
        <v>43</v>
      </c>
      <c r="B70" s="92">
        <v>35.077648611111115</v>
      </c>
    </row>
    <row r="71" spans="1:2">
      <c r="A71" s="122" t="s">
        <v>6</v>
      </c>
      <c r="B71" s="92">
        <v>49.521029761904764</v>
      </c>
    </row>
    <row r="72" spans="1:2">
      <c r="A72" s="121">
        <v>15000</v>
      </c>
      <c r="B72" s="92">
        <v>0</v>
      </c>
    </row>
    <row r="73" spans="1:2">
      <c r="A73" s="122" t="s">
        <v>10</v>
      </c>
      <c r="B73" s="92">
        <v>0</v>
      </c>
    </row>
    <row r="74" spans="1:2">
      <c r="A74" s="121" t="s">
        <v>98</v>
      </c>
      <c r="B74" s="92">
        <v>47.108429626865671</v>
      </c>
    </row>
    <row r="77" spans="1:2">
      <c r="A77" s="106" t="s">
        <v>50</v>
      </c>
      <c r="B77" t="s">
        <v>51</v>
      </c>
    </row>
    <row r="78" spans="1:2">
      <c r="A78" s="106" t="s">
        <v>89</v>
      </c>
      <c r="B78" s="107">
        <v>3.5</v>
      </c>
    </row>
    <row r="79" spans="1:2">
      <c r="A79" s="106" t="s">
        <v>1</v>
      </c>
      <c r="B79" t="s">
        <v>129</v>
      </c>
    </row>
    <row r="80" spans="1:2">
      <c r="A80" s="106" t="s">
        <v>60</v>
      </c>
      <c r="B80" t="s">
        <v>108</v>
      </c>
    </row>
    <row r="82" spans="1:2">
      <c r="A82" s="106" t="s">
        <v>79</v>
      </c>
      <c r="B82" t="s">
        <v>107</v>
      </c>
    </row>
    <row r="83" spans="1:2">
      <c r="A83" s="107">
        <v>1</v>
      </c>
      <c r="B83" s="128">
        <v>14.399999999999999</v>
      </c>
    </row>
    <row r="84" spans="1:2">
      <c r="A84" s="129">
        <v>5400</v>
      </c>
      <c r="B84" s="128">
        <v>14.399999999999999</v>
      </c>
    </row>
    <row r="85" spans="1:2">
      <c r="A85" s="129">
        <v>5900</v>
      </c>
      <c r="B85" s="128">
        <v>14.399999999999999</v>
      </c>
    </row>
    <row r="86" spans="1:2">
      <c r="A86" s="107">
        <v>2</v>
      </c>
      <c r="B86" s="128">
        <v>22.89</v>
      </c>
    </row>
    <row r="87" spans="1:2">
      <c r="A87" s="129">
        <v>5400</v>
      </c>
      <c r="B87" s="128">
        <v>20.759999999999998</v>
      </c>
    </row>
    <row r="88" spans="1:2">
      <c r="A88" s="129">
        <v>5900</v>
      </c>
      <c r="B88" s="128">
        <v>24</v>
      </c>
    </row>
    <row r="89" spans="1:2">
      <c r="A89" s="129">
        <v>7200</v>
      </c>
      <c r="B89" s="128">
        <v>23.4</v>
      </c>
    </row>
    <row r="90" spans="1:2">
      <c r="A90" s="107">
        <v>3</v>
      </c>
      <c r="B90" s="128">
        <v>22.52</v>
      </c>
    </row>
    <row r="91" spans="1:2">
      <c r="A91" s="129">
        <v>5400</v>
      </c>
      <c r="B91" s="128">
        <v>20.759999999999998</v>
      </c>
    </row>
    <row r="92" spans="1:2">
      <c r="A92" s="129">
        <v>5900</v>
      </c>
      <c r="B92" s="128">
        <v>24</v>
      </c>
    </row>
    <row r="93" spans="1:2">
      <c r="A93" s="129">
        <v>7200</v>
      </c>
      <c r="B93" s="128">
        <v>22.799999999999997</v>
      </c>
    </row>
    <row r="94" spans="1:2">
      <c r="A94" s="107">
        <v>4</v>
      </c>
      <c r="B94" s="128">
        <v>23.679999999999996</v>
      </c>
    </row>
    <row r="95" spans="1:2">
      <c r="A95" s="129">
        <v>5400</v>
      </c>
      <c r="B95" s="128">
        <v>21</v>
      </c>
    </row>
    <row r="96" spans="1:2">
      <c r="A96" s="129">
        <v>5900</v>
      </c>
      <c r="B96" s="128">
        <v>22.8</v>
      </c>
    </row>
    <row r="97" spans="1:2">
      <c r="A97" s="129">
        <v>7200</v>
      </c>
      <c r="B97" s="128">
        <v>25.16</v>
      </c>
    </row>
    <row r="98" spans="1:2">
      <c r="A98" s="107">
        <v>5</v>
      </c>
      <c r="B98" s="128">
        <v>21.9</v>
      </c>
    </row>
    <row r="99" spans="1:2">
      <c r="A99" s="129">
        <v>5400</v>
      </c>
      <c r="B99" s="128">
        <v>21</v>
      </c>
    </row>
    <row r="100" spans="1:2">
      <c r="A100" s="129">
        <v>7200</v>
      </c>
      <c r="B100" s="128">
        <v>22.799999999999997</v>
      </c>
    </row>
    <row r="101" spans="1:2">
      <c r="A101" s="107">
        <v>6</v>
      </c>
      <c r="B101" s="128">
        <v>23.616000000000003</v>
      </c>
    </row>
    <row r="102" spans="1:2">
      <c r="A102" s="129">
        <v>5400</v>
      </c>
      <c r="B102" s="128">
        <v>21</v>
      </c>
    </row>
    <row r="103" spans="1:2">
      <c r="A103" s="129">
        <v>5760</v>
      </c>
      <c r="B103" s="128"/>
    </row>
    <row r="104" spans="1:2">
      <c r="A104" s="129">
        <v>7200</v>
      </c>
      <c r="B104" s="128">
        <v>24.270000000000003</v>
      </c>
    </row>
    <row r="105" spans="1:2">
      <c r="A105" s="107">
        <v>8</v>
      </c>
      <c r="B105" s="128">
        <v>23.712</v>
      </c>
    </row>
    <row r="106" spans="1:2">
      <c r="A106" s="129">
        <v>5400</v>
      </c>
      <c r="B106" s="128">
        <v>21.48</v>
      </c>
    </row>
    <row r="107" spans="1:2">
      <c r="A107" s="129">
        <v>7200</v>
      </c>
      <c r="B107" s="128">
        <v>24.270000000000003</v>
      </c>
    </row>
    <row r="108" spans="1:2">
      <c r="A108" s="107">
        <v>10</v>
      </c>
      <c r="B108" s="128">
        <v>23.736000000000001</v>
      </c>
    </row>
    <row r="109" spans="1:2">
      <c r="A109" s="129">
        <v>5400</v>
      </c>
      <c r="B109" s="128">
        <v>21.48</v>
      </c>
    </row>
    <row r="110" spans="1:2">
      <c r="A110" s="129">
        <v>7200</v>
      </c>
      <c r="B110" s="128">
        <v>24.299999999999997</v>
      </c>
    </row>
    <row r="111" spans="1:2">
      <c r="A111" s="107">
        <v>12</v>
      </c>
      <c r="B111" s="128">
        <v>22.8</v>
      </c>
    </row>
    <row r="112" spans="1:2">
      <c r="A112" s="129">
        <v>7200</v>
      </c>
      <c r="B112" s="128">
        <v>22.8</v>
      </c>
    </row>
    <row r="113" spans="1:2">
      <c r="A113" s="107" t="s">
        <v>98</v>
      </c>
      <c r="B113" s="128">
        <v>22.785882352941179</v>
      </c>
    </row>
  </sheetData>
  <mergeCells count="4">
    <mergeCell ref="A4:B4"/>
    <mergeCell ref="A59:B59"/>
    <mergeCell ref="A40:B40"/>
    <mergeCell ref="A22:B22"/>
  </mergeCells>
  <pageMargins left="0.25" right="0.25" top="0.75" bottom="0.75" header="0.3" footer="0.3"/>
  <pageSetup scale="77" fitToHeight="3" orientation="landscape" r:id="rId6"/>
  <headerFooter>
    <oddHeader>&amp;CDisk Price 
Performance Analysis</oddHeader>
  </headerFooter>
  <rowBreaks count="2" manualBreakCount="2">
    <brk id="35" max="16383" man="1"/>
    <brk id="75" max="16383" man="1"/>
  </rowBreaks>
  <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18"/>
  <sheetViews>
    <sheetView workbookViewId="0">
      <selection activeCell="A2" sqref="A2"/>
    </sheetView>
  </sheetViews>
  <sheetFormatPr defaultRowHeight="15"/>
  <cols>
    <col min="2" max="2" width="14.7109375" customWidth="1"/>
    <col min="3" max="3" width="12.140625" customWidth="1"/>
    <col min="4" max="4" width="12.140625" bestFit="1" customWidth="1"/>
  </cols>
  <sheetData>
    <row r="1" spans="1:1">
      <c r="A1" t="s">
        <v>128</v>
      </c>
    </row>
    <row r="18" spans="1:1">
      <c r="A18" t="s">
        <v>78</v>
      </c>
    </row>
  </sheetData>
  <pageMargins left="0.25" right="0.25" top="0.75" bottom="0.75" header="0.3" footer="0.3"/>
  <pageSetup scale="96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8"/>
  <sheetViews>
    <sheetView workbookViewId="0">
      <selection activeCell="A8" sqref="A8"/>
    </sheetView>
  </sheetViews>
  <sheetFormatPr defaultRowHeight="15"/>
  <sheetData>
    <row r="1" spans="1:28" s="2" customFormat="1" ht="15.75" thickBot="1">
      <c r="A1" s="8" t="s">
        <v>0</v>
      </c>
      <c r="B1" s="8" t="s">
        <v>1</v>
      </c>
      <c r="C1" s="8" t="s">
        <v>4</v>
      </c>
      <c r="D1" s="36" t="s">
        <v>50</v>
      </c>
      <c r="E1" s="9" t="s">
        <v>27</v>
      </c>
      <c r="F1" s="66" t="s">
        <v>7</v>
      </c>
      <c r="G1" s="9" t="s">
        <v>66</v>
      </c>
      <c r="H1" s="9" t="s">
        <v>68</v>
      </c>
      <c r="I1" s="37" t="s">
        <v>65</v>
      </c>
      <c r="J1" s="67" t="s">
        <v>64</v>
      </c>
      <c r="K1" s="37" t="s">
        <v>26</v>
      </c>
      <c r="L1" s="26" t="s">
        <v>63</v>
      </c>
      <c r="M1" s="26" t="s">
        <v>62</v>
      </c>
      <c r="N1" s="26" t="s">
        <v>60</v>
      </c>
      <c r="O1" s="36" t="s">
        <v>61</v>
      </c>
      <c r="P1" s="38" t="s">
        <v>37</v>
      </c>
      <c r="Q1" s="26" t="s">
        <v>8</v>
      </c>
      <c r="R1" s="26" t="s">
        <v>9</v>
      </c>
      <c r="S1" s="39" t="s">
        <v>31</v>
      </c>
      <c r="T1" s="37" t="s">
        <v>2</v>
      </c>
      <c r="U1" s="39" t="s">
        <v>3</v>
      </c>
      <c r="V1" s="38" t="s">
        <v>33</v>
      </c>
      <c r="W1" s="26" t="s">
        <v>49</v>
      </c>
      <c r="X1" s="39" t="s">
        <v>20</v>
      </c>
      <c r="Y1" s="37" t="s">
        <v>32</v>
      </c>
      <c r="Z1" s="26" t="s">
        <v>21</v>
      </c>
      <c r="AA1" s="26" t="s">
        <v>48</v>
      </c>
      <c r="AB1" s="13" t="s">
        <v>42</v>
      </c>
    </row>
    <row r="2" spans="1:28" ht="15.75" thickTop="1">
      <c r="D2" s="90" t="s">
        <v>51</v>
      </c>
      <c r="E2" s="91">
        <v>10</v>
      </c>
      <c r="T2" t="s">
        <v>72</v>
      </c>
    </row>
    <row r="4" spans="1:28">
      <c r="A4" s="92">
        <f>DVAR('Drive Table'!$A$2:$AB$122,"Cost",$A$1:$AB$2)</f>
        <v>2043.3831928570955</v>
      </c>
      <c r="B4" t="s">
        <v>77</v>
      </c>
    </row>
    <row r="5" spans="1:28">
      <c r="A5" s="92">
        <f>DAVERAGE('Drive Table'!$A$2:$AB$122,"Cost",$A$1:$AB$2)</f>
        <v>371.96250000000003</v>
      </c>
      <c r="B5" t="s">
        <v>73</v>
      </c>
    </row>
    <row r="6" spans="1:28">
      <c r="A6" s="92">
        <f>DMIN('Drive Table'!$A$2:$AB$122,"Cost",$A$1:$AB$2)</f>
        <v>299.99</v>
      </c>
      <c r="B6" t="s">
        <v>74</v>
      </c>
    </row>
    <row r="7" spans="1:28">
      <c r="A7" s="92">
        <f>DMAX('Drive Table'!$A$2:$AB$122,"Cost",$A$1:$AB$2)</f>
        <v>440.77</v>
      </c>
      <c r="B7" t="s">
        <v>75</v>
      </c>
    </row>
    <row r="8" spans="1:28">
      <c r="A8">
        <f>DCOUNTA('Drive Table'!$A$2:$AB$122,"Cost",$A$1:$AB$2)</f>
        <v>8</v>
      </c>
      <c r="B8" t="s">
        <v>76</v>
      </c>
    </row>
  </sheetData>
  <pageMargins left="0.25" right="0.25" top="0.75" bottom="0.75" header="0.3" footer="0.3"/>
  <pageSetup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12</vt:i4>
      </vt:variant>
    </vt:vector>
  </HeadingPairs>
  <TitlesOfParts>
    <vt:vector size="16" baseType="lpstr">
      <vt:lpstr>Drive Table</vt:lpstr>
      <vt:lpstr>Tables</vt:lpstr>
      <vt:lpstr>Charts</vt:lpstr>
      <vt:lpstr>Database</vt:lpstr>
      <vt:lpstr>Active_Duty_Cycle</vt:lpstr>
      <vt:lpstr>CompareWarrYrs</vt:lpstr>
      <vt:lpstr>CostPerKWH</vt:lpstr>
      <vt:lpstr>Day_in_Year</vt:lpstr>
      <vt:lpstr>Days_In_Month</vt:lpstr>
      <vt:lpstr>Days_in_Year</vt:lpstr>
      <vt:lpstr>Hours_In_Day</vt:lpstr>
      <vt:lpstr>Hours_In_Month</vt:lpstr>
      <vt:lpstr>Incremental_Warr_Yr</vt:lpstr>
      <vt:lpstr>Months_In_Year</vt:lpstr>
      <vt:lpstr>Power_On_Hours_Year</vt:lpstr>
      <vt:lpstr>'Drive Table'!Print_Titles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2017-11-01T22:55:36Z</dcterms:created>
  <dcterms:modified xsi:type="dcterms:W3CDTF">2017-11-15T00:31:51Z</dcterms:modified>
</cp:coreProperties>
</file>